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9465" activeTab="2"/>
  </bookViews>
  <sheets>
    <sheet name="LUNGO" sheetId="1" r:id="rId1"/>
    <sheet name="MEDIO" sheetId="2" r:id="rId2"/>
    <sheet name="CORTO" sheetId="3" r:id="rId3"/>
  </sheets>
  <definedNames>
    <definedName name="_xlnm._FilterDatabase" localSheetId="2" hidden="1">'CORTO'!$A$7:$I$183</definedName>
    <definedName name="_xlnm._FilterDatabase" localSheetId="0" hidden="1">'LUNGO'!$A$14:$I$1806</definedName>
    <definedName name="_xlnm._FilterDatabase" localSheetId="1" hidden="1">'MEDIO'!$A$5:$I$1656</definedName>
  </definedNames>
  <calcPr fullCalcOnLoad="1"/>
</workbook>
</file>

<file path=xl/sharedStrings.xml><?xml version="1.0" encoding="utf-8"?>
<sst xmlns="http://schemas.openxmlformats.org/spreadsheetml/2006/main" count="21852" uniqueCount="7905">
  <si>
    <t>GSC AVIS FAENZA</t>
  </si>
  <si>
    <t>03:09:53.60</t>
  </si>
  <si>
    <t>TOMASSONI</t>
  </si>
  <si>
    <t>03:09:54.20</t>
  </si>
  <si>
    <t>LEPRI</t>
  </si>
  <si>
    <t>03:09:55.40</t>
  </si>
  <si>
    <t>CODE CHIP 50082114</t>
  </si>
  <si>
    <t>03:09:56.30</t>
  </si>
  <si>
    <t>LANFERNINI</t>
  </si>
  <si>
    <t>GIANMARIA LUCA</t>
  </si>
  <si>
    <t>ASD ICARO</t>
  </si>
  <si>
    <t>03:09:59.40</t>
  </si>
  <si>
    <t>CAMPANI</t>
  </si>
  <si>
    <t>03:10:00.10</t>
  </si>
  <si>
    <t>LORENZINI</t>
  </si>
  <si>
    <t>03:10:02.00</t>
  </si>
  <si>
    <t>COZZARI</t>
  </si>
  <si>
    <t>GERMANO</t>
  </si>
  <si>
    <t>GS TESTI CICLI</t>
  </si>
  <si>
    <t>03:10:02.10</t>
  </si>
  <si>
    <t>FORNARI</t>
  </si>
  <si>
    <t>ASD EDIL CENTRO ITALIA</t>
  </si>
  <si>
    <t>03:10:04.10</t>
  </si>
  <si>
    <t>CASALI</t>
  </si>
  <si>
    <t>FULVIO</t>
  </si>
  <si>
    <t>03:10:06.20</t>
  </si>
  <si>
    <t>ALDROVANDI</t>
  </si>
  <si>
    <t>03:10:09.20</t>
  </si>
  <si>
    <t>PRACUCCI</t>
  </si>
  <si>
    <t>GRILLI</t>
  </si>
  <si>
    <t>03:10:13.60</t>
  </si>
  <si>
    <t>CECILI</t>
  </si>
  <si>
    <t>03:10:17.90</t>
  </si>
  <si>
    <t>CAVICCHI</t>
  </si>
  <si>
    <t>SC SILLARO</t>
  </si>
  <si>
    <t>03:10:18.40</t>
  </si>
  <si>
    <t>GRIDELLI</t>
  </si>
  <si>
    <t>03:10:20.00</t>
  </si>
  <si>
    <t>BISCONTIN</t>
  </si>
  <si>
    <t>DENIS</t>
  </si>
  <si>
    <t>GS VELOCI MESTRINO</t>
  </si>
  <si>
    <t>03:10:23.10</t>
  </si>
  <si>
    <t>SALCIARINI</t>
  </si>
  <si>
    <t>LUCIANO</t>
  </si>
  <si>
    <t>03:10:34.40</t>
  </si>
  <si>
    <t>03:10:42.20</t>
  </si>
  <si>
    <t>MARCHETTI</t>
  </si>
  <si>
    <t>03:10:43.20</t>
  </si>
  <si>
    <t>OLIVIERI</t>
  </si>
  <si>
    <t>POL. S.DONNINO</t>
  </si>
  <si>
    <t>03:10:46.20</t>
  </si>
  <si>
    <t>ZENIER</t>
  </si>
  <si>
    <t>03:10:46.80</t>
  </si>
  <si>
    <t>ROBALDO</t>
  </si>
  <si>
    <t>BRUNO</t>
  </si>
  <si>
    <t>03:10:47.00</t>
  </si>
  <si>
    <t>BENCINI</t>
  </si>
  <si>
    <t>BICISPORTEAM FIRENZE</t>
  </si>
  <si>
    <t>03:10:56.20</t>
  </si>
  <si>
    <t>GS SPORTISSIMO TOP LEVEL</t>
  </si>
  <si>
    <t>03:10:56.50</t>
  </si>
  <si>
    <t>COSTANTINI</t>
  </si>
  <si>
    <t>03:11:01.40</t>
  </si>
  <si>
    <t>SARTORI</t>
  </si>
  <si>
    <t>03:11:12.20</t>
  </si>
  <si>
    <t>MONEGHINI</t>
  </si>
  <si>
    <t>SC MAZZANO</t>
  </si>
  <si>
    <t>03:11:17.00</t>
  </si>
  <si>
    <t>ZAMPONI</t>
  </si>
  <si>
    <t>SPADANO</t>
  </si>
  <si>
    <t>US  LANCIANO</t>
  </si>
  <si>
    <t>03:11:18.00</t>
  </si>
  <si>
    <t>BERTONCINI</t>
  </si>
  <si>
    <t>CICLI MAGGI TEAM FRW</t>
  </si>
  <si>
    <t>03:11:18.70</t>
  </si>
  <si>
    <t>SUSSAN</t>
  </si>
  <si>
    <t>ASD GRANFONDO D'EUROPA</t>
  </si>
  <si>
    <t>03:11:24.00</t>
  </si>
  <si>
    <t>BRAVO</t>
  </si>
  <si>
    <t>03:11:24.50</t>
  </si>
  <si>
    <t>PIZZINATO</t>
  </si>
  <si>
    <t>ASD POL TRIVIUM</t>
  </si>
  <si>
    <t>03:11:24.80</t>
  </si>
  <si>
    <t>CAVRARO</t>
  </si>
  <si>
    <t>SERGIO</t>
  </si>
  <si>
    <t>GS SCAVEZZON SQUADRA CORSE</t>
  </si>
  <si>
    <t>03:11:28.40</t>
  </si>
  <si>
    <t>AGUZZI</t>
  </si>
  <si>
    <t>03:11:32.20</t>
  </si>
  <si>
    <t>DELL'ORCO</t>
  </si>
  <si>
    <t>03:11:32.30</t>
  </si>
  <si>
    <t>03:11:35.00</t>
  </si>
  <si>
    <t>CANTONI</t>
  </si>
  <si>
    <t>03:11:35.10</t>
  </si>
  <si>
    <t>SOINI</t>
  </si>
  <si>
    <t>SC ALA</t>
  </si>
  <si>
    <t>03:11:36.70</t>
  </si>
  <si>
    <t>DI FONZO</t>
  </si>
  <si>
    <t>03:11:39.00</t>
  </si>
  <si>
    <t>ARMAROLI</t>
  </si>
  <si>
    <t>FERRETTI GREEN DEVILS</t>
  </si>
  <si>
    <t>03:11:41.10</t>
  </si>
  <si>
    <t>STAGIONI</t>
  </si>
  <si>
    <t>ANOMALO TEAM</t>
  </si>
  <si>
    <t>03:11:44.10</t>
  </si>
  <si>
    <t>GIORGIONI</t>
  </si>
  <si>
    <t>CAPUCCI</t>
  </si>
  <si>
    <t>03:11:45.00</t>
  </si>
  <si>
    <t>PRINA</t>
  </si>
  <si>
    <t>ROMANO</t>
  </si>
  <si>
    <t>CICLI BOSCHETTI</t>
  </si>
  <si>
    <t>03:11:45.40</t>
  </si>
  <si>
    <t>BELLUZZO</t>
  </si>
  <si>
    <t>03:11:46.10</t>
  </si>
  <si>
    <t>TROIANI</t>
  </si>
  <si>
    <t>GS MATE</t>
  </si>
  <si>
    <t>03:11:46.50</t>
  </si>
  <si>
    <t>CASTELLI</t>
  </si>
  <si>
    <t>GC AQUILE TUDERTI</t>
  </si>
  <si>
    <t>03:11:47.50</t>
  </si>
  <si>
    <t>MENGOZZI</t>
  </si>
  <si>
    <t>03:11:49.20</t>
  </si>
  <si>
    <t>GS CLASSENSE</t>
  </si>
  <si>
    <t>03:11:50.90</t>
  </si>
  <si>
    <t>SCHIAVON</t>
  </si>
  <si>
    <t>ASD BIKE EMMEGI TEAM</t>
  </si>
  <si>
    <t>03:11:51.10</t>
  </si>
  <si>
    <t>03:11:51.30</t>
  </si>
  <si>
    <t>LENTICCHIA</t>
  </si>
  <si>
    <t>03:11:52.30</t>
  </si>
  <si>
    <t>BUGLI</t>
  </si>
  <si>
    <t>MANUELA</t>
  </si>
  <si>
    <t>03:11:54.10</t>
  </si>
  <si>
    <t>BEVILACQUA</t>
  </si>
  <si>
    <t>ASD TEAM ISONZO AMATORI</t>
  </si>
  <si>
    <t>03:11:57.60</t>
  </si>
  <si>
    <t>TANGERINI</t>
  </si>
  <si>
    <t>FIORENZO</t>
  </si>
  <si>
    <t>CARROZZERIA GIUDICE</t>
  </si>
  <si>
    <t>03:11:59.40</t>
  </si>
  <si>
    <t>03:12:00.20</t>
  </si>
  <si>
    <t>REBONATO</t>
  </si>
  <si>
    <t>03:12:01.20</t>
  </si>
  <si>
    <t>03:12:01.60</t>
  </si>
  <si>
    <t>NINZOLI</t>
  </si>
  <si>
    <t>03:12:10.00</t>
  </si>
  <si>
    <t>PASSERINI</t>
  </si>
  <si>
    <t>B.F.W TEAM</t>
  </si>
  <si>
    <t>03:12:10.30</t>
  </si>
  <si>
    <t>OTTAVIO</t>
  </si>
  <si>
    <t>03:12:12.20</t>
  </si>
  <si>
    <t>BRINA</t>
  </si>
  <si>
    <t>CUS FERRARA</t>
  </si>
  <si>
    <t>03:12:15.20</t>
  </si>
  <si>
    <t>ALAI</t>
  </si>
  <si>
    <t>GS CICLOAMATORI GUASTALLA</t>
  </si>
  <si>
    <t>03:12:15.50</t>
  </si>
  <si>
    <t>TRONCA</t>
  </si>
  <si>
    <t>BERARDINO</t>
  </si>
  <si>
    <t>TEAM DEZAN</t>
  </si>
  <si>
    <t>03:12:16.80</t>
  </si>
  <si>
    <t>FEDELI</t>
  </si>
  <si>
    <t>TEAM VICTORY</t>
  </si>
  <si>
    <t>03:12:18.70</t>
  </si>
  <si>
    <t>PASQUALIN</t>
  </si>
  <si>
    <t>RUDI</t>
  </si>
  <si>
    <t>03:12:20.10</t>
  </si>
  <si>
    <t>BUSA</t>
  </si>
  <si>
    <t>ORO BIANCO TEAM PIRATA</t>
  </si>
  <si>
    <t>03:12:20.20</t>
  </si>
  <si>
    <t>VITALI</t>
  </si>
  <si>
    <t>GCO TEAM ALPMESS</t>
  </si>
  <si>
    <t>03:12:24.20</t>
  </si>
  <si>
    <t>03:12:26.20</t>
  </si>
  <si>
    <t>GASTALDI</t>
  </si>
  <si>
    <t>CLUB MA BE GO PETTENEA</t>
  </si>
  <si>
    <t>03:12:26.50</t>
  </si>
  <si>
    <t>TOGNI</t>
  </si>
  <si>
    <t>03:12:27.60</t>
  </si>
  <si>
    <t>COLOMBO</t>
  </si>
  <si>
    <t>AMICI DEL CICLISMO BASIANO</t>
  </si>
  <si>
    <t>03:12:29.20</t>
  </si>
  <si>
    <t>VELLI</t>
  </si>
  <si>
    <t>BIANCHI REP.CORSE</t>
  </si>
  <si>
    <t>03:12:29.40</t>
  </si>
  <si>
    <t>GIUSEPPINO</t>
  </si>
  <si>
    <t>03:12:31.40</t>
  </si>
  <si>
    <t>PIUTTI</t>
  </si>
  <si>
    <t>CGIL RAVENNA</t>
  </si>
  <si>
    <t>03:12:32.50</t>
  </si>
  <si>
    <t>MARIOTTO</t>
  </si>
  <si>
    <t>GUIDO</t>
  </si>
  <si>
    <t>POLISPORTIVA POZZOLESE</t>
  </si>
  <si>
    <t>03:12:37.40</t>
  </si>
  <si>
    <t>DI MARCO</t>
  </si>
  <si>
    <t>GIAMPIERO</t>
  </si>
  <si>
    <t>03:12:41.30</t>
  </si>
  <si>
    <t>MARZIARI</t>
  </si>
  <si>
    <t>03:12:41.80</t>
  </si>
  <si>
    <t>PAZZAGLIA</t>
  </si>
  <si>
    <t>03:12:43.10</t>
  </si>
  <si>
    <t>BIASIN</t>
  </si>
  <si>
    <t>ASD ZANOLA</t>
  </si>
  <si>
    <t>03:12:43.40</t>
  </si>
  <si>
    <t>POMPILI</t>
  </si>
  <si>
    <t>03:12:44.80</t>
  </si>
  <si>
    <t>ZANNONI</t>
  </si>
  <si>
    <t>03:12:47.20</t>
  </si>
  <si>
    <t>CANDIDO</t>
  </si>
  <si>
    <t>ASD CORRIDONIA</t>
  </si>
  <si>
    <t>03:12:47.40</t>
  </si>
  <si>
    <t>SINGIA</t>
  </si>
  <si>
    <t>BORGOSATOLLO COCLYNG</t>
  </si>
  <si>
    <t>03:12:50.00</t>
  </si>
  <si>
    <t>DORIA</t>
  </si>
  <si>
    <t>ASD ADRIANO DE ZAN</t>
  </si>
  <si>
    <t>03:12:54.50</t>
  </si>
  <si>
    <t>BRIGHI</t>
  </si>
  <si>
    <t>03:13:00.20</t>
  </si>
  <si>
    <t>03:13:09.00</t>
  </si>
  <si>
    <t>03:13:13.00</t>
  </si>
  <si>
    <t>MORES</t>
  </si>
  <si>
    <t>03:13:20.10</t>
  </si>
  <si>
    <t>03:13:25.10</t>
  </si>
  <si>
    <t>TOFFOLO</t>
  </si>
  <si>
    <t>GC CAVALLINO-TREPORTI</t>
  </si>
  <si>
    <t>03:13:27.30</t>
  </si>
  <si>
    <t>PIOLANTI</t>
  </si>
  <si>
    <t>GS GABBI</t>
  </si>
  <si>
    <t>03:13:27.50</t>
  </si>
  <si>
    <t>DE PIETRI</t>
  </si>
  <si>
    <t>IGOR</t>
  </si>
  <si>
    <t>03:13:32.20</t>
  </si>
  <si>
    <t>BATTAGLIA</t>
  </si>
  <si>
    <t>GS PASSUELLO</t>
  </si>
  <si>
    <t>03:13:33.20</t>
  </si>
  <si>
    <t>VIOLA</t>
  </si>
  <si>
    <t>IVAN GIUSEPPE</t>
  </si>
  <si>
    <t>03:13:45.80</t>
  </si>
  <si>
    <t>GALASSI</t>
  </si>
  <si>
    <t>VIRGINIO</t>
  </si>
  <si>
    <t>03:13:46.00</t>
  </si>
  <si>
    <t>MAINARDI</t>
  </si>
  <si>
    <t>03:13:46.30</t>
  </si>
  <si>
    <t>PICCARI</t>
  </si>
  <si>
    <t>ANNARITA</t>
  </si>
  <si>
    <t>03:13:48.10</t>
  </si>
  <si>
    <t>RESTELLI</t>
  </si>
  <si>
    <t>03:14:01.40</t>
  </si>
  <si>
    <t>RIVA</t>
  </si>
  <si>
    <t>SPORTIVA  MENTE  A.S.D  LODA</t>
  </si>
  <si>
    <t>03:14:03.20</t>
  </si>
  <si>
    <t>GERVASONI</t>
  </si>
  <si>
    <t>MARISA</t>
  </si>
  <si>
    <t>03:14:03.80</t>
  </si>
  <si>
    <t>MALDI</t>
  </si>
  <si>
    <t>VITTORIO</t>
  </si>
  <si>
    <t>03:14:04.50</t>
  </si>
  <si>
    <t>DALLE CARBONARE</t>
  </si>
  <si>
    <t>03:14:05.10</t>
  </si>
  <si>
    <t>SORGI</t>
  </si>
  <si>
    <t>ASD PEDALANDO</t>
  </si>
  <si>
    <t>03:14:16.30</t>
  </si>
  <si>
    <t>03:14:21.90</t>
  </si>
  <si>
    <t>FOSSATO</t>
  </si>
  <si>
    <t>UMBERTO</t>
  </si>
  <si>
    <t>03:14:25.00</t>
  </si>
  <si>
    <t>VERSARI</t>
  </si>
  <si>
    <t>PEDALE CESENATE CICLI NERI</t>
  </si>
  <si>
    <t>03:14:26.00</t>
  </si>
  <si>
    <t>ZAVATTA</t>
  </si>
  <si>
    <t>03:14:26.40</t>
  </si>
  <si>
    <t>FERNIANI</t>
  </si>
  <si>
    <t>03:14:27.30</t>
  </si>
  <si>
    <t>DEL ZOMPO</t>
  </si>
  <si>
    <t>FUSINI</t>
  </si>
  <si>
    <t>ANNA RITA</t>
  </si>
  <si>
    <t>03:14:27.80</t>
  </si>
  <si>
    <t>CHIARINI</t>
  </si>
  <si>
    <t>03:14:29.40</t>
  </si>
  <si>
    <t>CASATI</t>
  </si>
  <si>
    <t>VELOVIRTUS</t>
  </si>
  <si>
    <t>03:14:29.70</t>
  </si>
  <si>
    <t>MAGNANI</t>
  </si>
  <si>
    <t>GIANMARCO</t>
  </si>
  <si>
    <t>03:14:30.20</t>
  </si>
  <si>
    <t>LAGHI</t>
  </si>
  <si>
    <t>ASD GRUPPO PER CASO</t>
  </si>
  <si>
    <t>03:14:33.70</t>
  </si>
  <si>
    <t>IACCHERI</t>
  </si>
  <si>
    <t>03:14:35.10</t>
  </si>
  <si>
    <t>MICHELETTI</t>
  </si>
  <si>
    <t>03:14:36.60</t>
  </si>
  <si>
    <t>LAURA</t>
  </si>
  <si>
    <t>TEAM IACCOBIKE CERAMICA PANARIA</t>
  </si>
  <si>
    <t>03:14:39.50</t>
  </si>
  <si>
    <t>CIACCI</t>
  </si>
  <si>
    <t>GRUPPO CICL.BRUGNETTESE</t>
  </si>
  <si>
    <t>03:14:40.10</t>
  </si>
  <si>
    <t>COTTOGNI</t>
  </si>
  <si>
    <t>03:14:44.40</t>
  </si>
  <si>
    <t>LUCARELLI</t>
  </si>
  <si>
    <t>GS TIME BIKE</t>
  </si>
  <si>
    <t>03:14:44.60</t>
  </si>
  <si>
    <t>CELIO</t>
  </si>
  <si>
    <t>ASD S ALBA ADRIATICA</t>
  </si>
  <si>
    <t>03:14:45.20</t>
  </si>
  <si>
    <t>GRASSELLINI</t>
  </si>
  <si>
    <t>BLU VÈLO</t>
  </si>
  <si>
    <t>03:14:46.50</t>
  </si>
  <si>
    <t>MOLNAR</t>
  </si>
  <si>
    <t>JOSEF</t>
  </si>
  <si>
    <t>SS FRECCE ROSSE CICLI CASATI</t>
  </si>
  <si>
    <t>03:14:49.00</t>
  </si>
  <si>
    <t>US SAN MARCO CESENA</t>
  </si>
  <si>
    <t>03:14:53.20</t>
  </si>
  <si>
    <t>03:14:55.00</t>
  </si>
  <si>
    <t>SPENDOLINI</t>
  </si>
  <si>
    <t>03:14:57.20</t>
  </si>
  <si>
    <t>RAFFUZZI</t>
  </si>
  <si>
    <t>03:14:57.30</t>
  </si>
  <si>
    <t>LENCIO</t>
  </si>
  <si>
    <t>03:14:59.40</t>
  </si>
  <si>
    <t>FERNANDO</t>
  </si>
  <si>
    <t>03:15:00.40</t>
  </si>
  <si>
    <t>SCHIAVONI</t>
  </si>
  <si>
    <t>ORIETTA</t>
  </si>
  <si>
    <t>NUOVA PEDALE CIVITANOVESE</t>
  </si>
  <si>
    <t>03:15:02.90</t>
  </si>
  <si>
    <t>DI PRIMA</t>
  </si>
  <si>
    <t>DANIELA</t>
  </si>
  <si>
    <t>ASD COLLINE OLTREPO</t>
  </si>
  <si>
    <t>03:15:03.70</t>
  </si>
  <si>
    <t>03:15:04.00</t>
  </si>
  <si>
    <t>CANNONI</t>
  </si>
  <si>
    <t>SALVATORE</t>
  </si>
  <si>
    <t>GS DUE RUOTE</t>
  </si>
  <si>
    <t>03:15:13.60</t>
  </si>
  <si>
    <t>SCUNCIO</t>
  </si>
  <si>
    <t>03:15:14.00</t>
  </si>
  <si>
    <t>MANIEZZO</t>
  </si>
  <si>
    <t>DAVID</t>
  </si>
  <si>
    <t>03:15:15.90</t>
  </si>
  <si>
    <t>CICLO DUCALE</t>
  </si>
  <si>
    <t>03:15:17.30</t>
  </si>
  <si>
    <t>CALENDARI</t>
  </si>
  <si>
    <t>03:15:19.10</t>
  </si>
  <si>
    <t>GILLI</t>
  </si>
  <si>
    <t>03:15:20.20</t>
  </si>
  <si>
    <t>CONFALONIERI</t>
  </si>
  <si>
    <t>COSTAMASNAGA ASD</t>
  </si>
  <si>
    <t>03:15:20.30</t>
  </si>
  <si>
    <t>BARTOLO</t>
  </si>
  <si>
    <t>DOMENICO</t>
  </si>
  <si>
    <t>03:15:21.60</t>
  </si>
  <si>
    <t>03:15:24.10</t>
  </si>
  <si>
    <t>GNANI</t>
  </si>
  <si>
    <t>03:15:24.20</t>
  </si>
  <si>
    <t>TAPINASSI</t>
  </si>
  <si>
    <t>03:15:27.30</t>
  </si>
  <si>
    <t>VALLERI</t>
  </si>
  <si>
    <t>03:15:28.00</t>
  </si>
  <si>
    <t>BRAGHIERI</t>
  </si>
  <si>
    <t>ASD EVENTI</t>
  </si>
  <si>
    <t>03:15:36.10</t>
  </si>
  <si>
    <t>LAGI</t>
  </si>
  <si>
    <t>GS S.MARTINO IN CAMPO</t>
  </si>
  <si>
    <t>03:15:39.10</t>
  </si>
  <si>
    <t>TRIGLIA REATO</t>
  </si>
  <si>
    <t>INDIVIDUALE</t>
  </si>
  <si>
    <t>03:15:40.70</t>
  </si>
  <si>
    <t>BARDUCCI</t>
  </si>
  <si>
    <t>ENDAS RIMINI</t>
  </si>
  <si>
    <t>03:15:49.90</t>
  </si>
  <si>
    <t>SALVADORI</t>
  </si>
  <si>
    <t>SANTE</t>
  </si>
  <si>
    <t>03:15:55.10</t>
  </si>
  <si>
    <t>GS VALCONCA OTTICA BIONDI</t>
  </si>
  <si>
    <t>03:16:03.40</t>
  </si>
  <si>
    <t>FILIPPUCCI</t>
  </si>
  <si>
    <t>03:16:05.70</t>
  </si>
  <si>
    <t>RENZONI</t>
  </si>
  <si>
    <t>POLISPORTIVA S MARCO LA SELLA</t>
  </si>
  <si>
    <t>03:16:11.10</t>
  </si>
  <si>
    <t>CICLOTURISMO MARTORANO 95</t>
  </si>
  <si>
    <t>03:16:17.50</t>
  </si>
  <si>
    <t>DI TARDO</t>
  </si>
  <si>
    <t>03:16:30.30</t>
  </si>
  <si>
    <t>03:16:31.20</t>
  </si>
  <si>
    <t>03:16:37.20</t>
  </si>
  <si>
    <t>SENO</t>
  </si>
  <si>
    <t>MARGHERITA</t>
  </si>
  <si>
    <t>GS MARMI PASTRELLO</t>
  </si>
  <si>
    <t>03:16:47.90</t>
  </si>
  <si>
    <t>ERIKA</t>
  </si>
  <si>
    <t>03:16:50.50</t>
  </si>
  <si>
    <t>MASSA</t>
  </si>
  <si>
    <t>03:16:51.00</t>
  </si>
  <si>
    <t>MAESTRI</t>
  </si>
  <si>
    <t>03:16:53.00</t>
  </si>
  <si>
    <t>ZANETTI</t>
  </si>
  <si>
    <t>ALDO</t>
  </si>
  <si>
    <t>03:16:58.50</t>
  </si>
  <si>
    <t>MILANI</t>
  </si>
  <si>
    <t>CICLO SPORT RIVA</t>
  </si>
  <si>
    <t>03:16:59.20</t>
  </si>
  <si>
    <t>03:17:02.20</t>
  </si>
  <si>
    <t>03:17:09.00</t>
  </si>
  <si>
    <t>SOLDATI</t>
  </si>
  <si>
    <t>03:17:12.40</t>
  </si>
  <si>
    <t>CIANI</t>
  </si>
  <si>
    <t>03:17:19.20</t>
  </si>
  <si>
    <t>DI LUPIDIO</t>
  </si>
  <si>
    <t>EDDY</t>
  </si>
  <si>
    <t>03:17:23.50</t>
  </si>
  <si>
    <t>SORDI</t>
  </si>
  <si>
    <t>ASD SAN GIMIGNANO</t>
  </si>
  <si>
    <t>03:17:24.00</t>
  </si>
  <si>
    <t>03:17:29.50</t>
  </si>
  <si>
    <t>BOVARA</t>
  </si>
  <si>
    <t>POLISPORTIVA PICENUM</t>
  </si>
  <si>
    <t>03:17:33.10</t>
  </si>
  <si>
    <t>MURGANO</t>
  </si>
  <si>
    <t>03:17:36.80</t>
  </si>
  <si>
    <t>BIAGIOLI</t>
  </si>
  <si>
    <t>ASDB STRA</t>
  </si>
  <si>
    <t>03:17:40.20</t>
  </si>
  <si>
    <t>SCAPPINI</t>
  </si>
  <si>
    <t>03:17:42.60</t>
  </si>
  <si>
    <t>VESCOVI</t>
  </si>
  <si>
    <t>03:17:42.70</t>
  </si>
  <si>
    <t>BERARDI</t>
  </si>
  <si>
    <t>03:17:43.40</t>
  </si>
  <si>
    <t>ZAMAGNA</t>
  </si>
  <si>
    <t>TEAM VALLE SAVIO</t>
  </si>
  <si>
    <t>03:17:44.30</t>
  </si>
  <si>
    <t>SANTINELLI</t>
  </si>
  <si>
    <t>FRATRES DYNAMIS BIKE</t>
  </si>
  <si>
    <t>03:17:44.90</t>
  </si>
  <si>
    <t>PALMA</t>
  </si>
  <si>
    <t>03:17:45.10</t>
  </si>
  <si>
    <t>CURZI</t>
  </si>
  <si>
    <t>03:17:48.00</t>
  </si>
  <si>
    <t>ACCIAI</t>
  </si>
  <si>
    <t>03:17:49.70</t>
  </si>
  <si>
    <t>GRASSI</t>
  </si>
  <si>
    <t>ASD CIRCOLO DIP.BERCO COPPARO</t>
  </si>
  <si>
    <t>03:17:51.10</t>
  </si>
  <si>
    <t>MENICI</t>
  </si>
  <si>
    <t>03:17:55.60</t>
  </si>
  <si>
    <t>SORMANI</t>
  </si>
  <si>
    <t>SC PEDIVELLE ROVENTI</t>
  </si>
  <si>
    <t>03:17:57.00</t>
  </si>
  <si>
    <t>FIORAVANTI</t>
  </si>
  <si>
    <t>GS FREE BIKE</t>
  </si>
  <si>
    <t>03:17:59.20</t>
  </si>
  <si>
    <t>CIOMMI</t>
  </si>
  <si>
    <t>CLUB ATL.TORRESE</t>
  </si>
  <si>
    <t>03:18:15.50</t>
  </si>
  <si>
    <t>LGL BIKE TEAM</t>
  </si>
  <si>
    <t>03:18:17.00</t>
  </si>
  <si>
    <t>COREGGIOLI</t>
  </si>
  <si>
    <t>03:18:18.10</t>
  </si>
  <si>
    <t>VOLPARI</t>
  </si>
  <si>
    <t>03:18:20.50</t>
  </si>
  <si>
    <t>FRANCESCA</t>
  </si>
  <si>
    <t>03:18:27.00</t>
  </si>
  <si>
    <t>DONATI</t>
  </si>
  <si>
    <t>03:18:27.40</t>
  </si>
  <si>
    <t>SANCISI</t>
  </si>
  <si>
    <t>RENZO</t>
  </si>
  <si>
    <t>03:18:28.70</t>
  </si>
  <si>
    <t>CARNEVALI</t>
  </si>
  <si>
    <t>03:18:32.10</t>
  </si>
  <si>
    <t>BENEDETTI</t>
  </si>
  <si>
    <t>CEMENTERIE BARBETTI</t>
  </si>
  <si>
    <t>03:18:34.70</t>
  </si>
  <si>
    <t>FULIMENI</t>
  </si>
  <si>
    <t>03:18:36.40</t>
  </si>
  <si>
    <t>CAPPELLINI</t>
  </si>
  <si>
    <t>ADRIO'S BIKE</t>
  </si>
  <si>
    <t>03:18:38.10</t>
  </si>
  <si>
    <t>PODESCHI</t>
  </si>
  <si>
    <t>03:18:38.40</t>
  </si>
  <si>
    <t>CASALGRANDI</t>
  </si>
  <si>
    <t>TEAM VIOLI MAGAZZENO</t>
  </si>
  <si>
    <t>03:18:38.50</t>
  </si>
  <si>
    <t>TORRI</t>
  </si>
  <si>
    <t>ROBERTA</t>
  </si>
  <si>
    <t>03:18:42.40</t>
  </si>
  <si>
    <t>BALDACCI</t>
  </si>
  <si>
    <t>GC BORELLO</t>
  </si>
  <si>
    <t>03:18:44.00</t>
  </si>
  <si>
    <t>MORELLI</t>
  </si>
  <si>
    <t>03:18:46.00</t>
  </si>
  <si>
    <t>FRATERNALI</t>
  </si>
  <si>
    <t>GS CARROZZERIA RICHY</t>
  </si>
  <si>
    <t>03:18:46.40</t>
  </si>
  <si>
    <t>BINDA</t>
  </si>
  <si>
    <t>GS TEAM CICLI AMBROSINI</t>
  </si>
  <si>
    <t>03:18:51.20</t>
  </si>
  <si>
    <t>FILOCAMO</t>
  </si>
  <si>
    <t>03:18:57.10</t>
  </si>
  <si>
    <t>CASSIANI</t>
  </si>
  <si>
    <t>ALBERTO</t>
  </si>
  <si>
    <t>G.C FERRARI</t>
  </si>
  <si>
    <t>03:19:02.50</t>
  </si>
  <si>
    <t>PISK</t>
  </si>
  <si>
    <t>03:19:03.40</t>
  </si>
  <si>
    <t>03:19:04.10</t>
  </si>
  <si>
    <t>BONETTI</t>
  </si>
  <si>
    <t>03:19:04.70</t>
  </si>
  <si>
    <t>IVESSA</t>
  </si>
  <si>
    <t>ASD DUE RUOTE SPORT</t>
  </si>
  <si>
    <t>03:19:05.20</t>
  </si>
  <si>
    <t>COBBE</t>
  </si>
  <si>
    <t>03:19:06.40</t>
  </si>
  <si>
    <t>CAMPANA</t>
  </si>
  <si>
    <t>BICI PER TUTTI</t>
  </si>
  <si>
    <t>03:19:07.10</t>
  </si>
  <si>
    <t>CAMPEDELLI</t>
  </si>
  <si>
    <t>03:19:09.50</t>
  </si>
  <si>
    <t>RICCIOTTI</t>
  </si>
  <si>
    <t>BENEVENTI</t>
  </si>
  <si>
    <t>03:19:15.20</t>
  </si>
  <si>
    <t>ERCOLI</t>
  </si>
  <si>
    <t>AVIS FRECCE AZZURRE</t>
  </si>
  <si>
    <t>03:19:28.10</t>
  </si>
  <si>
    <t>FIORINI</t>
  </si>
  <si>
    <t>03:19:29.60</t>
  </si>
  <si>
    <t>CINCINELLI</t>
  </si>
  <si>
    <t>03:19:29.80</t>
  </si>
  <si>
    <t>BECCHI</t>
  </si>
  <si>
    <t>BERIV MULTISPORT</t>
  </si>
  <si>
    <t>03:19:41.00</t>
  </si>
  <si>
    <t>VENTURI</t>
  </si>
  <si>
    <t>LAWRENCE</t>
  </si>
  <si>
    <t>03:19:46.40</t>
  </si>
  <si>
    <t>BONDI</t>
  </si>
  <si>
    <t>DENNY</t>
  </si>
  <si>
    <t>03:19:51.00</t>
  </si>
  <si>
    <t>GIRALDO</t>
  </si>
  <si>
    <t>SC BY ROLL</t>
  </si>
  <si>
    <t>03:19:51.40</t>
  </si>
  <si>
    <t>MAREA</t>
  </si>
  <si>
    <t>LE IENE DI PIANETA NATURA</t>
  </si>
  <si>
    <t>03:19:53.20</t>
  </si>
  <si>
    <t>MASELLI</t>
  </si>
  <si>
    <t>03:19:55.20</t>
  </si>
  <si>
    <t>PAMPOLINI</t>
  </si>
  <si>
    <t>03:19:56.40</t>
  </si>
  <si>
    <t>FLOESS</t>
  </si>
  <si>
    <t>ALBERT</t>
  </si>
  <si>
    <t>TEAM ZANOLINI BIKE PROF ASD</t>
  </si>
  <si>
    <t>03:19:57.20</t>
  </si>
  <si>
    <t>BERION</t>
  </si>
  <si>
    <t>GS ATHLETIC CLUB</t>
  </si>
  <si>
    <t>03:20:04.20</t>
  </si>
  <si>
    <t>PEZZI</t>
  </si>
  <si>
    <t>03:20:10.40</t>
  </si>
  <si>
    <t>03:20:25.60</t>
  </si>
  <si>
    <t>03:20:26.10</t>
  </si>
  <si>
    <t>GIORGINI</t>
  </si>
  <si>
    <t>POLISPORTIVA AURORA</t>
  </si>
  <si>
    <t>03:20:27.00</t>
  </si>
  <si>
    <t>ROSAVERDE</t>
  </si>
  <si>
    <t>AS TEAM GALIARDI</t>
  </si>
  <si>
    <t>03:20:27.90</t>
  </si>
  <si>
    <t>GRION</t>
  </si>
  <si>
    <t>GC GORIZIANO</t>
  </si>
  <si>
    <t>03:20:28.00</t>
  </si>
  <si>
    <t>FAROTTI</t>
  </si>
  <si>
    <t>POL CANONICA</t>
  </si>
  <si>
    <t>03:20:30.70</t>
  </si>
  <si>
    <t>SURRICCHIO</t>
  </si>
  <si>
    <t>CRAL ANGELINI ABRUZZO</t>
  </si>
  <si>
    <t>03:20:33.50</t>
  </si>
  <si>
    <t>SANSAVINI</t>
  </si>
  <si>
    <t>03:20:35.20</t>
  </si>
  <si>
    <t>GALANTI</t>
  </si>
  <si>
    <t>ARMANDO</t>
  </si>
  <si>
    <t>POL.3 ELLE</t>
  </si>
  <si>
    <t>03:20:37.00</t>
  </si>
  <si>
    <t>CRETA</t>
  </si>
  <si>
    <t>03:20:40.00</t>
  </si>
  <si>
    <t>MARTELLI</t>
  </si>
  <si>
    <t>03:20:51.20</t>
  </si>
  <si>
    <t>BARANGANI</t>
  </si>
  <si>
    <t>GIOVANNI BATTISTA</t>
  </si>
  <si>
    <t>03:20:51.30</t>
  </si>
  <si>
    <t>TOGNINI</t>
  </si>
  <si>
    <t>03:20:55.30</t>
  </si>
  <si>
    <t>03:20:59.80</t>
  </si>
  <si>
    <t>EMILIANI</t>
  </si>
  <si>
    <t>GS ARCI SANTA LUCIA</t>
  </si>
  <si>
    <t>03:21:03.60</t>
  </si>
  <si>
    <t>CATASTA</t>
  </si>
  <si>
    <t>03:21:03.80</t>
  </si>
  <si>
    <t>PENNESE</t>
  </si>
  <si>
    <t>AURELIO</t>
  </si>
  <si>
    <t>03:21:08.20</t>
  </si>
  <si>
    <t>GS DOSI ASD</t>
  </si>
  <si>
    <t>03:21:09.30</t>
  </si>
  <si>
    <t>TRENTIN</t>
  </si>
  <si>
    <t>UCS OTTAVIO ZULIANI</t>
  </si>
  <si>
    <t>03:21:09.90</t>
  </si>
  <si>
    <t>FULIGNI</t>
  </si>
  <si>
    <t>ASD CRAL CARIFANO</t>
  </si>
  <si>
    <t>03:21:10.50</t>
  </si>
  <si>
    <t>TIGRI</t>
  </si>
  <si>
    <t>ALAN</t>
  </si>
  <si>
    <t>03:21:11.00</t>
  </si>
  <si>
    <t>D'ESTE</t>
  </si>
  <si>
    <t>03:21:11.60</t>
  </si>
  <si>
    <t>RICCIARDI</t>
  </si>
  <si>
    <t>GIORGIO</t>
  </si>
  <si>
    <t>03:21:12.50</t>
  </si>
  <si>
    <t>PALAZZI</t>
  </si>
  <si>
    <t>03:21:26.40</t>
  </si>
  <si>
    <t>PARENTE</t>
  </si>
  <si>
    <t>03:21:26.50</t>
  </si>
  <si>
    <t>ZANNIER</t>
  </si>
  <si>
    <t>03:21:27.10</t>
  </si>
  <si>
    <t>MECARINI</t>
  </si>
  <si>
    <t>GC VITERBESE</t>
  </si>
  <si>
    <t>03:21:28.00</t>
  </si>
  <si>
    <t>BATTISTI</t>
  </si>
  <si>
    <t>ENRICO MARIA</t>
  </si>
  <si>
    <t>03:21:29.70</t>
  </si>
  <si>
    <t>FERRARI</t>
  </si>
  <si>
    <t>03:21:31.20</t>
  </si>
  <si>
    <t>03:21:31.60</t>
  </si>
  <si>
    <t>CAROPPO</t>
  </si>
  <si>
    <t>OSVALDO</t>
  </si>
  <si>
    <t>03:21:31.90</t>
  </si>
  <si>
    <t>PIVETTI</t>
  </si>
  <si>
    <t>ASD TEAM GOVONI G.M</t>
  </si>
  <si>
    <t>03:21:33.10</t>
  </si>
  <si>
    <t>CASTORRI</t>
  </si>
  <si>
    <t>MERIS</t>
  </si>
  <si>
    <t>03:21:35.10</t>
  </si>
  <si>
    <t>BIGALLI</t>
  </si>
  <si>
    <t>03:21:36.20</t>
  </si>
  <si>
    <t>RAMARI</t>
  </si>
  <si>
    <t>03:21:39.50</t>
  </si>
  <si>
    <t>BALLONE</t>
  </si>
  <si>
    <t>SEBASTIAN</t>
  </si>
  <si>
    <t>CAVALLINOMTB</t>
  </si>
  <si>
    <t>03:21:40.10</t>
  </si>
  <si>
    <t>STRAMBI</t>
  </si>
  <si>
    <t>03:21:46.00</t>
  </si>
  <si>
    <t>DE ROSA</t>
  </si>
  <si>
    <t>S.S.ATL. BONDENO FREE BIKE</t>
  </si>
  <si>
    <t>03:21:52.20</t>
  </si>
  <si>
    <t>MONTI</t>
  </si>
  <si>
    <t>GS CAMPANELLA</t>
  </si>
  <si>
    <t>OLMI</t>
  </si>
  <si>
    <t>TEAM LE LAME PRO BIKE</t>
  </si>
  <si>
    <t>03:21:55.10</t>
  </si>
  <si>
    <t>VARAGNOLO</t>
  </si>
  <si>
    <t>DIEGO</t>
  </si>
  <si>
    <t>CLUB ALESSANDRIA IL SORRISO</t>
  </si>
  <si>
    <t>ZANOLI</t>
  </si>
  <si>
    <t>DONAGGIO</t>
  </si>
  <si>
    <t>BI &amp; BI BIKE TEAM CHIOGGIA</t>
  </si>
  <si>
    <t>03:22:06.30</t>
  </si>
  <si>
    <t>GIOIELLO</t>
  </si>
  <si>
    <t>SPORTING CLUB SEZ CICLISMO</t>
  </si>
  <si>
    <t>03:22:08.10</t>
  </si>
  <si>
    <t>VENOSA</t>
  </si>
  <si>
    <t>GSE</t>
  </si>
  <si>
    <t>03:22:08.50</t>
  </si>
  <si>
    <t>BORTOLOTTI</t>
  </si>
  <si>
    <t>MTB TURBOLENTI</t>
  </si>
  <si>
    <t>03:22:09.00</t>
  </si>
  <si>
    <t>GOBBI</t>
  </si>
  <si>
    <t>03:22:13.30</t>
  </si>
  <si>
    <t>GS BIKESCOOTER 2000</t>
  </si>
  <si>
    <t>03:22:15.30</t>
  </si>
  <si>
    <t>BATANI</t>
  </si>
  <si>
    <t>03:22:15.40</t>
  </si>
  <si>
    <t>SCHIAZZA</t>
  </si>
  <si>
    <t>03:22:17.70</t>
  </si>
  <si>
    <t>MACCHIONI</t>
  </si>
  <si>
    <t>03:22:19.50</t>
  </si>
  <si>
    <t>03:22:19.70</t>
  </si>
  <si>
    <t>SEVERI</t>
  </si>
  <si>
    <t>GS COREBO</t>
  </si>
  <si>
    <t>03:22:22.30</t>
  </si>
  <si>
    <t>BACHINI</t>
  </si>
  <si>
    <t>03:22:23.00</t>
  </si>
  <si>
    <t>BURANI</t>
  </si>
  <si>
    <t>GIANPAOLO</t>
  </si>
  <si>
    <t>CRAL DIP. SANITA'</t>
  </si>
  <si>
    <t>03:22:23.10</t>
  </si>
  <si>
    <t>D'ANDREA</t>
  </si>
  <si>
    <t>PIERO</t>
  </si>
  <si>
    <t>ASD AMICI DELLA BICI</t>
  </si>
  <si>
    <t>03:22:23.20</t>
  </si>
  <si>
    <t>TACERDI</t>
  </si>
  <si>
    <t>RENATO</t>
  </si>
  <si>
    <t>GC CICLOTURISMO MESCHIO</t>
  </si>
  <si>
    <t>03:22:26.10</t>
  </si>
  <si>
    <t>03:22:27.00</t>
  </si>
  <si>
    <t>CANTÙ</t>
  </si>
  <si>
    <t>03:22:28.20</t>
  </si>
  <si>
    <t>BELLAVITI</t>
  </si>
  <si>
    <t>TEAM PULINED</t>
  </si>
  <si>
    <t>03:22:29.00</t>
  </si>
  <si>
    <t>LUSINI</t>
  </si>
  <si>
    <t>03:22:29.50</t>
  </si>
  <si>
    <t>CAMPORESE</t>
  </si>
  <si>
    <t>CICLI OLYMPIA</t>
  </si>
  <si>
    <t>03:22:31.20</t>
  </si>
  <si>
    <t>BRUSCHI</t>
  </si>
  <si>
    <t>MANGIMI PRETI</t>
  </si>
  <si>
    <t>03:22:34.30</t>
  </si>
  <si>
    <t>GS QUARELLA MOBILTRE</t>
  </si>
  <si>
    <t>03:22:34.40</t>
  </si>
  <si>
    <t>VALIERI</t>
  </si>
  <si>
    <t>TEAM BORGHI RACING</t>
  </si>
  <si>
    <t>03:22:35.60</t>
  </si>
  <si>
    <t>SCHIANCHI</t>
  </si>
  <si>
    <t>MATTHIA</t>
  </si>
  <si>
    <t>ASS.FREEBIKE</t>
  </si>
  <si>
    <t>03:22:39.50</t>
  </si>
  <si>
    <t>ZACCARINI</t>
  </si>
  <si>
    <t>POLISPORTIVA LAME</t>
  </si>
  <si>
    <t>03:22:44.10</t>
  </si>
  <si>
    <t>ANGELI</t>
  </si>
  <si>
    <t>03:22:45.30</t>
  </si>
  <si>
    <t>CHECCHI</t>
  </si>
  <si>
    <t>ELISABETTA</t>
  </si>
  <si>
    <t>SPORTLER  TEAM</t>
  </si>
  <si>
    <t>03:22:45.80</t>
  </si>
  <si>
    <t>PASCULLI</t>
  </si>
  <si>
    <t>IGNAZIO</t>
  </si>
  <si>
    <t>GC MARTINA FRANCA</t>
  </si>
  <si>
    <t>03:22:52.20</t>
  </si>
  <si>
    <t>GS VALVOLE RECORD</t>
  </si>
  <si>
    <t>03:22:53.00</t>
  </si>
  <si>
    <t>MOLA</t>
  </si>
  <si>
    <t>SAVERIO</t>
  </si>
  <si>
    <t>03:22:54.30</t>
  </si>
  <si>
    <t>DALLA COSTA</t>
  </si>
  <si>
    <t>03:22:54.60</t>
  </si>
  <si>
    <t>RUSSO</t>
  </si>
  <si>
    <t>03:22:56.50</t>
  </si>
  <si>
    <t>RULLI</t>
  </si>
  <si>
    <t>CRISTINA</t>
  </si>
  <si>
    <t>03:22:57.00</t>
  </si>
  <si>
    <t>03:22:58.10</t>
  </si>
  <si>
    <t>PICUTTI</t>
  </si>
  <si>
    <t>03:22:58.30</t>
  </si>
  <si>
    <t>CRESCENTINI</t>
  </si>
  <si>
    <t>EFREM</t>
  </si>
  <si>
    <t>03:22:59.10</t>
  </si>
  <si>
    <t>GENTILINI</t>
  </si>
  <si>
    <t>ADC SOLAROLESE</t>
  </si>
  <si>
    <t>03:23:01.10</t>
  </si>
  <si>
    <t>DE LUCIA</t>
  </si>
  <si>
    <t>EMILIANO</t>
  </si>
  <si>
    <t>03:23:01.40</t>
  </si>
  <si>
    <t>CORVINI</t>
  </si>
  <si>
    <t>03:23:03.10</t>
  </si>
  <si>
    <t>BRAGHIN</t>
  </si>
  <si>
    <t>03:23:03.30</t>
  </si>
  <si>
    <t>SILENZI</t>
  </si>
  <si>
    <t>03:23:04.50</t>
  </si>
  <si>
    <t>03:23:06.30</t>
  </si>
  <si>
    <t>VISOTTI</t>
  </si>
  <si>
    <t>03:23:06.40</t>
  </si>
  <si>
    <t>BALZANI</t>
  </si>
  <si>
    <t>03:23:19.40</t>
  </si>
  <si>
    <t>03:23:24.30</t>
  </si>
  <si>
    <t>BELTRAMI</t>
  </si>
  <si>
    <t>ASD CYCLING TEAM</t>
  </si>
  <si>
    <t>03:23:26.30</t>
  </si>
  <si>
    <t>NONNI</t>
  </si>
  <si>
    <t>03:23:29.30</t>
  </si>
  <si>
    <t>DI PAOLO</t>
  </si>
  <si>
    <t>03:23:30.30</t>
  </si>
  <si>
    <t>DI FRANCO</t>
  </si>
  <si>
    <t>SC LEVANTO</t>
  </si>
  <si>
    <t>03:23:31.60</t>
  </si>
  <si>
    <t>03:23:34.20</t>
  </si>
  <si>
    <t>CRESCINI</t>
  </si>
  <si>
    <t>03:23:37.10</t>
  </si>
  <si>
    <t>MORGAGNI</t>
  </si>
  <si>
    <t>03:23:37.70</t>
  </si>
  <si>
    <t>CASTAGNETTI</t>
  </si>
  <si>
    <t>03:23:44.40</t>
  </si>
  <si>
    <t>CIURO</t>
  </si>
  <si>
    <t>SANTO FILIPPO</t>
  </si>
  <si>
    <t>03:23:46.00</t>
  </si>
  <si>
    <t>ASD GRAMA</t>
  </si>
  <si>
    <t>03:23:47.10</t>
  </si>
  <si>
    <t>BENAZZI</t>
  </si>
  <si>
    <t>03:23:48.80</t>
  </si>
  <si>
    <t>CASA RANGONE SC</t>
  </si>
  <si>
    <t>03:23:49.10</t>
  </si>
  <si>
    <t>MONACI</t>
  </si>
  <si>
    <t>03:23:50.00</t>
  </si>
  <si>
    <t>ALTARIVA</t>
  </si>
  <si>
    <t>03:23:50.10</t>
  </si>
  <si>
    <t>RAMON</t>
  </si>
  <si>
    <t>CS TRE</t>
  </si>
  <si>
    <t>03:23:53.40</t>
  </si>
  <si>
    <t>VIGNOLI</t>
  </si>
  <si>
    <t>AVERINO</t>
  </si>
  <si>
    <t>03:23:54.10</t>
  </si>
  <si>
    <t>MAINI</t>
  </si>
  <si>
    <t>03:23:57.50</t>
  </si>
  <si>
    <t>PERLINI</t>
  </si>
  <si>
    <t>GIORDANO</t>
  </si>
  <si>
    <t>GS RUOTE LIBERE</t>
  </si>
  <si>
    <t>03:24:00.50</t>
  </si>
  <si>
    <t>TREVISAN</t>
  </si>
  <si>
    <t>03:24:03.20</t>
  </si>
  <si>
    <t>BUSOLI</t>
  </si>
  <si>
    <t>03:24:06.20</t>
  </si>
  <si>
    <t>TRALDI</t>
  </si>
  <si>
    <t>03:24:09.70</t>
  </si>
  <si>
    <t>MARTINI</t>
  </si>
  <si>
    <t>03:24:13.20</t>
  </si>
  <si>
    <t>CASARINI</t>
  </si>
  <si>
    <t>POL. CASTELFRANCO</t>
  </si>
  <si>
    <t>03:24:19.40</t>
  </si>
  <si>
    <t>PROTTI</t>
  </si>
  <si>
    <t>03:24:20.60</t>
  </si>
  <si>
    <t>03:24:21.60</t>
  </si>
  <si>
    <t>CICINELLI</t>
  </si>
  <si>
    <t>ARDUINO</t>
  </si>
  <si>
    <t>03:24:23.00</t>
  </si>
  <si>
    <t>FESTUCCIA</t>
  </si>
  <si>
    <t>03:24:23.20</t>
  </si>
  <si>
    <t>ROSINI</t>
  </si>
  <si>
    <t>03:24:28.40</t>
  </si>
  <si>
    <t>VERNA</t>
  </si>
  <si>
    <t>PANCRAZIO</t>
  </si>
  <si>
    <t>03:24:32.70</t>
  </si>
  <si>
    <t>RANIERI</t>
  </si>
  <si>
    <t>VANNI</t>
  </si>
  <si>
    <t>AVIS MELDOLA</t>
  </si>
  <si>
    <t>03:24:35.30</t>
  </si>
  <si>
    <t>BENFENATI</t>
  </si>
  <si>
    <t>ASD TEAM SALIERI</t>
  </si>
  <si>
    <t>03:24:38.50</t>
  </si>
  <si>
    <t>ISOLA</t>
  </si>
  <si>
    <t>03:24:41.70</t>
  </si>
  <si>
    <t>PICCIRILLO</t>
  </si>
  <si>
    <t>SOGLIANO TEAM</t>
  </si>
  <si>
    <t>03:24:42.60</t>
  </si>
  <si>
    <t>03:25:00.70</t>
  </si>
  <si>
    <t>DOMENICHELLI</t>
  </si>
  <si>
    <t>GS CICLI MAHER</t>
  </si>
  <si>
    <t>03:25:03.10</t>
  </si>
  <si>
    <t>DONATO</t>
  </si>
  <si>
    <t>CICLISTICA BRUZZANO</t>
  </si>
  <si>
    <t>03:25:03.70</t>
  </si>
  <si>
    <t>PANICHI</t>
  </si>
  <si>
    <t>ASD PETIT VELO'</t>
  </si>
  <si>
    <t>03:25:06.10</t>
  </si>
  <si>
    <t>ARRIGO</t>
  </si>
  <si>
    <t>BC AGRATE</t>
  </si>
  <si>
    <t>03:25:06.40</t>
  </si>
  <si>
    <t>ZANOLA</t>
  </si>
  <si>
    <t>03:25:07.20</t>
  </si>
  <si>
    <t>GIACOMO</t>
  </si>
  <si>
    <t>BIKELAND TEAM 2003</t>
  </si>
  <si>
    <t>03:25:07.30</t>
  </si>
  <si>
    <t>PARIS</t>
  </si>
  <si>
    <t>03:25:07.40</t>
  </si>
  <si>
    <t>CAPPELLI</t>
  </si>
  <si>
    <t>03:25:10.10</t>
  </si>
  <si>
    <t>GHIROTTO</t>
  </si>
  <si>
    <t>03:25:10.60</t>
  </si>
  <si>
    <t>PELLIZZOLA</t>
  </si>
  <si>
    <t>03:25:11.00</t>
  </si>
  <si>
    <t>TOSTI</t>
  </si>
  <si>
    <t>ACHILLE</t>
  </si>
  <si>
    <t>ASD AMATORI PAGLIARI CICLI TEAM 1995</t>
  </si>
  <si>
    <t>03:25:14.40</t>
  </si>
  <si>
    <t>OLIVI</t>
  </si>
  <si>
    <t>03:25:15.10</t>
  </si>
  <si>
    <t>CARDINALI</t>
  </si>
  <si>
    <t>03:25:17.10</t>
  </si>
  <si>
    <t>GEMINIANI</t>
  </si>
  <si>
    <t>SC PEDALE BIANCONERO LUGO</t>
  </si>
  <si>
    <t>03:25:17.20</t>
  </si>
  <si>
    <t>GABRIELLI</t>
  </si>
  <si>
    <t>ARNALDO</t>
  </si>
  <si>
    <t>ASD AMATORI PAGLIARE CICLO TEAM 1995</t>
  </si>
  <si>
    <t>03:25:18.20</t>
  </si>
  <si>
    <t>ASD BICIVERDE</t>
  </si>
  <si>
    <t>03:25:22.40</t>
  </si>
  <si>
    <t>RICCIATI</t>
  </si>
  <si>
    <t>03:25:23.10</t>
  </si>
  <si>
    <t>TRONDOLI</t>
  </si>
  <si>
    <t>03:25:23.20</t>
  </si>
  <si>
    <t>DELL'EMILIA</t>
  </si>
  <si>
    <t>03:25:23.50</t>
  </si>
  <si>
    <t>COMIOTTO</t>
  </si>
  <si>
    <t>MARA</t>
  </si>
  <si>
    <t>03:25:24.40</t>
  </si>
  <si>
    <t>PROSECCO TEAM</t>
  </si>
  <si>
    <t>03:25:25.30</t>
  </si>
  <si>
    <t>CONTARINI</t>
  </si>
  <si>
    <t>UCF BARACCA LUGO</t>
  </si>
  <si>
    <t>03:25:25.40</t>
  </si>
  <si>
    <t>SPERANZA</t>
  </si>
  <si>
    <t>TEAM L'ARCOBALENO CARRARO</t>
  </si>
  <si>
    <t>03:25:28.40</t>
  </si>
  <si>
    <t>BANCA MALATESTIANA</t>
  </si>
  <si>
    <t>03:25:28.50</t>
  </si>
  <si>
    <t>STORONI</t>
  </si>
  <si>
    <t>03:25:31.40</t>
  </si>
  <si>
    <t>03:25:31.80</t>
  </si>
  <si>
    <t>ASD TEAM</t>
  </si>
  <si>
    <t>03:25:35.10</t>
  </si>
  <si>
    <t>POOL.5 CERCHI</t>
  </si>
  <si>
    <t>03:25:36.20</t>
  </si>
  <si>
    <t>SOMMACAL</t>
  </si>
  <si>
    <t>AS TXT VITTORIO VENETO</t>
  </si>
  <si>
    <t>POLIDO</t>
  </si>
  <si>
    <t>GSC CAMPAGNOLESE</t>
  </si>
  <si>
    <t>03:25:37.20</t>
  </si>
  <si>
    <t>03:25:37.40</t>
  </si>
  <si>
    <t>PELLICCIARI</t>
  </si>
  <si>
    <t>MURIZIO</t>
  </si>
  <si>
    <t>ASD CICLI CORREGGIO</t>
  </si>
  <si>
    <t>03:25:41.20</t>
  </si>
  <si>
    <t>DANIELI</t>
  </si>
  <si>
    <t>ADELMO</t>
  </si>
  <si>
    <t>03:25:43.00</t>
  </si>
  <si>
    <t>BACCHINI</t>
  </si>
  <si>
    <t>GSC TOR SAPIENZA</t>
  </si>
  <si>
    <t>03:25:43.20</t>
  </si>
  <si>
    <t>03:25:44.70</t>
  </si>
  <si>
    <t>GUARDIGLI</t>
  </si>
  <si>
    <t>03:25:45.60</t>
  </si>
  <si>
    <t>ARGENTINO</t>
  </si>
  <si>
    <t>TEAM MG.K VIS-LGL-LOOK</t>
  </si>
  <si>
    <t>03:25:56.60</t>
  </si>
  <si>
    <t>DI LULLO</t>
  </si>
  <si>
    <t>ASD RISTORANTE LA RETE</t>
  </si>
  <si>
    <t>03:25:59.00</t>
  </si>
  <si>
    <t>LINGUERRI</t>
  </si>
  <si>
    <t>03:26:01.20</t>
  </si>
  <si>
    <t>CORINTI</t>
  </si>
  <si>
    <t>TEAM AMATORI VITERBO</t>
  </si>
  <si>
    <t>03:26:03.50</t>
  </si>
  <si>
    <t>DENNIS</t>
  </si>
  <si>
    <t>ASD TORMATIC</t>
  </si>
  <si>
    <t>03:26:08.10</t>
  </si>
  <si>
    <t>SUDATI</t>
  </si>
  <si>
    <t>03:26:09.00</t>
  </si>
  <si>
    <t>DI GIOVANNI</t>
  </si>
  <si>
    <t>03:26:10.10</t>
  </si>
  <si>
    <t>FADINI</t>
  </si>
  <si>
    <t>PRO PIACENZA TEAM</t>
  </si>
  <si>
    <t>03:26:11.60</t>
  </si>
  <si>
    <t>FRISON</t>
  </si>
  <si>
    <t>03:26:22.20</t>
  </si>
  <si>
    <t>FOGLI</t>
  </si>
  <si>
    <t>03:26:24.60</t>
  </si>
  <si>
    <t>ALTIMARE</t>
  </si>
  <si>
    <t>MARIA</t>
  </si>
  <si>
    <t>03:26:26.50</t>
  </si>
  <si>
    <t>AMADIO</t>
  </si>
  <si>
    <t>03:26:38.30</t>
  </si>
  <si>
    <t>TRICARICO</t>
  </si>
  <si>
    <t>ASD ALBA BIKE TEAM</t>
  </si>
  <si>
    <t>03:26:40.30</t>
  </si>
  <si>
    <t>MINIATI</t>
  </si>
  <si>
    <t>TOSCO ROMAGNOLA</t>
  </si>
  <si>
    <t>03:26:44.10</t>
  </si>
  <si>
    <t>BERNARDINI</t>
  </si>
  <si>
    <t>03:26:44.50</t>
  </si>
  <si>
    <t>FIUMI</t>
  </si>
  <si>
    <t>GS T.SPACCO</t>
  </si>
  <si>
    <t>03:26:49.70</t>
  </si>
  <si>
    <t>LUCARONI</t>
  </si>
  <si>
    <t>03:26:51.20</t>
  </si>
  <si>
    <t>MANFRIN</t>
  </si>
  <si>
    <t>ASD MAROLA AROMI</t>
  </si>
  <si>
    <t>03:26:52.10</t>
  </si>
  <si>
    <t>LAMA</t>
  </si>
  <si>
    <t>ASD ALVISI U.EMME</t>
  </si>
  <si>
    <t>03:26:53.10</t>
  </si>
  <si>
    <t>ACHILLI</t>
  </si>
  <si>
    <t>03:26:59.50</t>
  </si>
  <si>
    <t>ZANOTTI</t>
  </si>
  <si>
    <t>03:27:00.20</t>
  </si>
  <si>
    <t>APOLLONIO</t>
  </si>
  <si>
    <t>FUSCONI</t>
  </si>
  <si>
    <t>03:27:04.50</t>
  </si>
  <si>
    <t>D'AGOSTINI</t>
  </si>
  <si>
    <t>PASQUALINO</t>
  </si>
  <si>
    <t>ACC TEAM BIKE</t>
  </si>
  <si>
    <t>03:27:09.70</t>
  </si>
  <si>
    <t>CORSINI</t>
  </si>
  <si>
    <t>03:27:16.20</t>
  </si>
  <si>
    <t>BERGAMO</t>
  </si>
  <si>
    <t>OBERDAN</t>
  </si>
  <si>
    <t>03:27:17.20</t>
  </si>
  <si>
    <t>FILIPPINI</t>
  </si>
  <si>
    <t>03:27:18.60</t>
  </si>
  <si>
    <t>MEDRI</t>
  </si>
  <si>
    <t>03:27:24.40</t>
  </si>
  <si>
    <t>MIARI</t>
  </si>
  <si>
    <t>ITALO</t>
  </si>
  <si>
    <t>PEDALE CASTELNOVESE MTB</t>
  </si>
  <si>
    <t>03:27:24.60</t>
  </si>
  <si>
    <t>GSC TEAM 2006</t>
  </si>
  <si>
    <t>03:27:26.00</t>
  </si>
  <si>
    <t>GS OLIVIERO</t>
  </si>
  <si>
    <t>03:27:29.30</t>
  </si>
  <si>
    <t>SCIBILIA</t>
  </si>
  <si>
    <t>GS VENTURI CESENA</t>
  </si>
  <si>
    <t>ONOFRI</t>
  </si>
  <si>
    <t>03:27:31.50</t>
  </si>
  <si>
    <t>CATTARIN</t>
  </si>
  <si>
    <t>PIER LUIGI</t>
  </si>
  <si>
    <t>03:27:32.60</t>
  </si>
  <si>
    <t>BARAGHINI</t>
  </si>
  <si>
    <t>FORLIMPOPOLI BIKE</t>
  </si>
  <si>
    <t>03:27:33.30</t>
  </si>
  <si>
    <t>PANICALI</t>
  </si>
  <si>
    <t>COLOR SERVICE</t>
  </si>
  <si>
    <t>03:27:35.60</t>
  </si>
  <si>
    <t>GIOVAGNOLI</t>
  </si>
  <si>
    <t>ANTIMO</t>
  </si>
  <si>
    <t>03:27:41.00</t>
  </si>
  <si>
    <t>03:27:42.20</t>
  </si>
  <si>
    <t>CISARI</t>
  </si>
  <si>
    <t>GIANLUIGI</t>
  </si>
  <si>
    <t>03:27:43.10</t>
  </si>
  <si>
    <t>PETRETTO</t>
  </si>
  <si>
    <t>CICLI GA-MA</t>
  </si>
  <si>
    <t>03:27:47.20</t>
  </si>
  <si>
    <t>POMPEI</t>
  </si>
  <si>
    <t>TEAM PONTE</t>
  </si>
  <si>
    <t>03:27:48.50</t>
  </si>
  <si>
    <t>GIRI</t>
  </si>
  <si>
    <t>GC VIRTUSBIKE</t>
  </si>
  <si>
    <t>03:27:52.80</t>
  </si>
  <si>
    <t>TESSER</t>
  </si>
  <si>
    <t>LIVIO</t>
  </si>
  <si>
    <t>UC BRIBANO GIORIK</t>
  </si>
  <si>
    <t>03:27:55.50</t>
  </si>
  <si>
    <t>SAVIGNI</t>
  </si>
  <si>
    <t>03:27:58.50</t>
  </si>
  <si>
    <t>RUSCITTO</t>
  </si>
  <si>
    <t>TEAM USLENGHI</t>
  </si>
  <si>
    <t>03:28:00.20</t>
  </si>
  <si>
    <t>MICHELI</t>
  </si>
  <si>
    <t>03:28:03.40</t>
  </si>
  <si>
    <t>GASPARRI</t>
  </si>
  <si>
    <t>03:28:10.10</t>
  </si>
  <si>
    <t>ANDREOLI</t>
  </si>
  <si>
    <t>03:28:10.70</t>
  </si>
  <si>
    <t>03:28:11.60</t>
  </si>
  <si>
    <t>CINESI</t>
  </si>
  <si>
    <t>CRAZI BIKE</t>
  </si>
  <si>
    <t>03:28:19.10</t>
  </si>
  <si>
    <t>TANZINI</t>
  </si>
  <si>
    <t>03:28:21.20</t>
  </si>
  <si>
    <t>GARDINI</t>
  </si>
  <si>
    <t>03:28:22.30</t>
  </si>
  <si>
    <t>UP MASSESE</t>
  </si>
  <si>
    <t>03:28:23.50</t>
  </si>
  <si>
    <t>BIFONE</t>
  </si>
  <si>
    <t>03:28:24.80</t>
  </si>
  <si>
    <t>NIKO</t>
  </si>
  <si>
    <t>SC REDA BAGGIONI MULINARI</t>
  </si>
  <si>
    <t>03:28:38.00</t>
  </si>
  <si>
    <t>LUPI</t>
  </si>
  <si>
    <t>03:28:46.80</t>
  </si>
  <si>
    <t>TARDIANI</t>
  </si>
  <si>
    <t>ASD SC FORMIGOSA</t>
  </si>
  <si>
    <t>03:28:47.60</t>
  </si>
  <si>
    <t>STIVARI</t>
  </si>
  <si>
    <t>FLAVIA</t>
  </si>
  <si>
    <t>03:28:48.40</t>
  </si>
  <si>
    <t>COPPI</t>
  </si>
  <si>
    <t>CICLI COLLI CARPI</t>
  </si>
  <si>
    <t>03:28:50.00</t>
  </si>
  <si>
    <t>SAMBO</t>
  </si>
  <si>
    <t>03:28:58.50</t>
  </si>
  <si>
    <t>PLAZZI</t>
  </si>
  <si>
    <t>03:29:06.30</t>
  </si>
  <si>
    <t>ZAGNI</t>
  </si>
  <si>
    <t>CICLO SPORT MILLO</t>
  </si>
  <si>
    <t>03:29:06.40</t>
  </si>
  <si>
    <t>ZANNINI</t>
  </si>
  <si>
    <t>03:29:06.50</t>
  </si>
  <si>
    <t>MIRKA</t>
  </si>
  <si>
    <t>03:29:06.60</t>
  </si>
  <si>
    <t>BOMBARDI</t>
  </si>
  <si>
    <t>03:29:07.00</t>
  </si>
  <si>
    <t>BOSCOLO</t>
  </si>
  <si>
    <t>03:29:07.80</t>
  </si>
  <si>
    <t>ROVERATO</t>
  </si>
  <si>
    <t>ASD AR TEAM ARMISTIZIO HARD SERVICE</t>
  </si>
  <si>
    <t>03:29:09.00</t>
  </si>
  <si>
    <t>03:29:12.30</t>
  </si>
  <si>
    <t>GIARDINA</t>
  </si>
  <si>
    <t>03:29:15.50</t>
  </si>
  <si>
    <t>SCATIZZI</t>
  </si>
  <si>
    <t>FENIXS IL FABBRIANO</t>
  </si>
  <si>
    <t>03:29:18.40</t>
  </si>
  <si>
    <t>RINALDI</t>
  </si>
  <si>
    <t>03:29:18.50</t>
  </si>
  <si>
    <t>FREGOLENT</t>
  </si>
  <si>
    <t>03:29:22.10</t>
  </si>
  <si>
    <t>VINCINI</t>
  </si>
  <si>
    <t>SC AVIS FIORENZUOLA</t>
  </si>
  <si>
    <t>03:29:24.50</t>
  </si>
  <si>
    <t>BONFÈ</t>
  </si>
  <si>
    <t>03:29:27.10</t>
  </si>
  <si>
    <t>BERGAMI</t>
  </si>
  <si>
    <t>03:29:33.40</t>
  </si>
  <si>
    <t>ANSALONI</t>
  </si>
  <si>
    <t>TONINO</t>
  </si>
  <si>
    <t>POLISPORTIVA ANZOLESE</t>
  </si>
  <si>
    <t>03:29:35.10</t>
  </si>
  <si>
    <t>VIERANI</t>
  </si>
  <si>
    <t>MONDAINI</t>
  </si>
  <si>
    <t>MARIA TERESA</t>
  </si>
  <si>
    <t>ASD RINASCITA NUOTO RIMINI</t>
  </si>
  <si>
    <t>03:29:49.00</t>
  </si>
  <si>
    <t>TINTI</t>
  </si>
  <si>
    <t>03:29:50.10</t>
  </si>
  <si>
    <t>TAMAGNINI</t>
  </si>
  <si>
    <t>03:29:50.40</t>
  </si>
  <si>
    <t>03:29:59.30</t>
  </si>
  <si>
    <t>VISENTIN</t>
  </si>
  <si>
    <t>ALVARO</t>
  </si>
  <si>
    <t>CICLOTURISTICA TERNANA</t>
  </si>
  <si>
    <t>03:30:01.40</t>
  </si>
  <si>
    <t>SASSO</t>
  </si>
  <si>
    <t>MUSSONI</t>
  </si>
  <si>
    <t>03:30:03.50</t>
  </si>
  <si>
    <t>LOMBARDI</t>
  </si>
  <si>
    <t>GS POCCIANTI</t>
  </si>
  <si>
    <t>03:30:09.40</t>
  </si>
  <si>
    <t>03:30:10.30</t>
  </si>
  <si>
    <t>POGGI</t>
  </si>
  <si>
    <t>STEFANIA</t>
  </si>
  <si>
    <t>GC PEDALE CIVITANOVESE</t>
  </si>
  <si>
    <t>03:30:10.50</t>
  </si>
  <si>
    <t>MICUCCI</t>
  </si>
  <si>
    <t>03:30:11.20</t>
  </si>
  <si>
    <t>DONZELLI</t>
  </si>
  <si>
    <t>LEO</t>
  </si>
  <si>
    <t>03:30:12.20</t>
  </si>
  <si>
    <t>FALCIER</t>
  </si>
  <si>
    <t>03:30:12.30</t>
  </si>
  <si>
    <t>NANNI</t>
  </si>
  <si>
    <t>ADRIANO</t>
  </si>
  <si>
    <t>03:30:18.40</t>
  </si>
  <si>
    <t>MURATORE</t>
  </si>
  <si>
    <t>03:30:20.80</t>
  </si>
  <si>
    <t>PETRALI</t>
  </si>
  <si>
    <t>03:30:21.00</t>
  </si>
  <si>
    <t>PUGLIESE</t>
  </si>
  <si>
    <t>03:30:29.70</t>
  </si>
  <si>
    <t>AMBROSI</t>
  </si>
  <si>
    <t>03:30:37.10</t>
  </si>
  <si>
    <t>GOLINUCCI</t>
  </si>
  <si>
    <t>03:30:43.50</t>
  </si>
  <si>
    <t>TRONCONI</t>
  </si>
  <si>
    <t>03:30:55.10</t>
  </si>
  <si>
    <t>AIUDI</t>
  </si>
  <si>
    <t>03:30:55.20</t>
  </si>
  <si>
    <t>NULLI</t>
  </si>
  <si>
    <t>ACD PONTE SAN GIOVANNI</t>
  </si>
  <si>
    <t>03:30:56.40</t>
  </si>
  <si>
    <t>GHINI</t>
  </si>
  <si>
    <t>03:30:57.10</t>
  </si>
  <si>
    <t>TOLIN</t>
  </si>
  <si>
    <t>ASD CICLI BASSAN</t>
  </si>
  <si>
    <t>03:30:58.30</t>
  </si>
  <si>
    <t>BRASINI</t>
  </si>
  <si>
    <t>03:31:02.00</t>
  </si>
  <si>
    <t>MALATESTA</t>
  </si>
  <si>
    <t>EMMA TOUR SPORT</t>
  </si>
  <si>
    <t>03:31:06.20</t>
  </si>
  <si>
    <t>SENSOLINI</t>
  </si>
  <si>
    <t>03:31:07.00</t>
  </si>
  <si>
    <t>03:31:07.10</t>
  </si>
  <si>
    <t>BRENTALI</t>
  </si>
  <si>
    <t>03:31:07.80</t>
  </si>
  <si>
    <t>CASALETTI</t>
  </si>
  <si>
    <t>03:31:08.70</t>
  </si>
  <si>
    <t>PAOLUCCI</t>
  </si>
  <si>
    <t>ASD MAUTILOS FORLI</t>
  </si>
  <si>
    <t>03:31:09.40</t>
  </si>
  <si>
    <t>03:31:14.00</t>
  </si>
  <si>
    <t>DELL'ANTONIA</t>
  </si>
  <si>
    <t>BARBARA</t>
  </si>
  <si>
    <t>03:31:14.50</t>
  </si>
  <si>
    <t>MELONARI</t>
  </si>
  <si>
    <t>MARIA PIA</t>
  </si>
  <si>
    <t>03:31:15.60</t>
  </si>
  <si>
    <t>03:31:17.70</t>
  </si>
  <si>
    <t>03:31:19.20</t>
  </si>
  <si>
    <t>MARIANI</t>
  </si>
  <si>
    <t>VIGANO'</t>
  </si>
  <si>
    <t>ASD GS FERRAMENTA POZZI</t>
  </si>
  <si>
    <t>02:04:36.78</t>
  </si>
  <si>
    <t>MACCHI</t>
  </si>
  <si>
    <t>ASD BIKE TEAM MANDELLO</t>
  </si>
  <si>
    <t>02:04:36.80</t>
  </si>
  <si>
    <t>PILLONI</t>
  </si>
  <si>
    <t>02:05:41.30</t>
  </si>
  <si>
    <t>02:07:38.70</t>
  </si>
  <si>
    <t>02:07:42.60</t>
  </si>
  <si>
    <t>HOPFGARTNER</t>
  </si>
  <si>
    <t>FRANZ</t>
  </si>
  <si>
    <t>OARTC HRINKOW BIKESSTEYR</t>
  </si>
  <si>
    <t>02:10:07.20</t>
  </si>
  <si>
    <t>02:10:08.70</t>
  </si>
  <si>
    <t>02:10:14.00</t>
  </si>
  <si>
    <t>BONAZZA</t>
  </si>
  <si>
    <t>02:10:17.40</t>
  </si>
  <si>
    <t>RIGHETTI</t>
  </si>
  <si>
    <t>02:12:46.10</t>
  </si>
  <si>
    <t>LORENZONI</t>
  </si>
  <si>
    <t>IPPOLITO</t>
  </si>
  <si>
    <t>02:12:50.50</t>
  </si>
  <si>
    <t>FARRONI</t>
  </si>
  <si>
    <t>TEAM BICI SPORT LA MECCANOGRAFICA</t>
  </si>
  <si>
    <t>02:13:13.90</t>
  </si>
  <si>
    <t>BRUSI</t>
  </si>
  <si>
    <t>CLAUDIO DOMENICO</t>
  </si>
  <si>
    <t>02:13:43.31</t>
  </si>
  <si>
    <t>02:14:10.60</t>
  </si>
  <si>
    <t>EGIDIO</t>
  </si>
  <si>
    <t>ASD SEZZE</t>
  </si>
  <si>
    <t>02:16:07.20</t>
  </si>
  <si>
    <t>OSELINI</t>
  </si>
  <si>
    <t>ASD TEAM STRAZZER</t>
  </si>
  <si>
    <t>02:17:33.20</t>
  </si>
  <si>
    <t>02:17:38.20</t>
  </si>
  <si>
    <t>LUNARDELLI</t>
  </si>
  <si>
    <t>02:19:21.50</t>
  </si>
  <si>
    <t>GALLOTTI</t>
  </si>
  <si>
    <t>02:19:36.30</t>
  </si>
  <si>
    <t>BASSAROMAGNA</t>
  </si>
  <si>
    <t>02:19:47.60</t>
  </si>
  <si>
    <t>FILIPPIN</t>
  </si>
  <si>
    <t>YLENIA</t>
  </si>
  <si>
    <t>02:20:17.10</t>
  </si>
  <si>
    <t>MUCCIARINI</t>
  </si>
  <si>
    <t>DORIANO</t>
  </si>
  <si>
    <t>02:20:27.40</t>
  </si>
  <si>
    <t>02:20:28.90</t>
  </si>
  <si>
    <t>DE MARCHI</t>
  </si>
  <si>
    <t>INDIVIDUALE MANTOVA</t>
  </si>
  <si>
    <t>02:20:47.10</t>
  </si>
  <si>
    <t>02:20:48.30</t>
  </si>
  <si>
    <t>NAZZARI</t>
  </si>
  <si>
    <t>02:21:58.40</t>
  </si>
  <si>
    <t>SCAZZINA</t>
  </si>
  <si>
    <t>ABELE</t>
  </si>
  <si>
    <t>SC PEDALE SESTESE</t>
  </si>
  <si>
    <t>02:23:51.10</t>
  </si>
  <si>
    <t>DI MEO</t>
  </si>
  <si>
    <t>02:24:13.10</t>
  </si>
  <si>
    <t>CONTRI</t>
  </si>
  <si>
    <t>IDITA BIKE RACING TEAM</t>
  </si>
  <si>
    <t>02:24:19.10</t>
  </si>
  <si>
    <t>CORLI</t>
  </si>
  <si>
    <t>02:24:55.10</t>
  </si>
  <si>
    <t>02:25:03.41</t>
  </si>
  <si>
    <t>CARBONI</t>
  </si>
  <si>
    <t>02:25:26.30</t>
  </si>
  <si>
    <t>02:26:18.10</t>
  </si>
  <si>
    <t>02:26:41.10</t>
  </si>
  <si>
    <t>UISP FERRARA</t>
  </si>
  <si>
    <t>RAUL</t>
  </si>
  <si>
    <t>02:26:50.10</t>
  </si>
  <si>
    <t>CRISTALLI</t>
  </si>
  <si>
    <t>02:27:53.10</t>
  </si>
  <si>
    <t>CASIMIRRI</t>
  </si>
  <si>
    <t>02:28:12.20</t>
  </si>
  <si>
    <t>02:28:37.30</t>
  </si>
  <si>
    <t>TURCHET</t>
  </si>
  <si>
    <t>02:28:38.40</t>
  </si>
  <si>
    <t>FINI</t>
  </si>
  <si>
    <t>02:30:11.30</t>
  </si>
  <si>
    <t>GIBERNA</t>
  </si>
  <si>
    <t>02:30:26.30</t>
  </si>
  <si>
    <t>PRENNER</t>
  </si>
  <si>
    <t>MICHAEL</t>
  </si>
  <si>
    <t>02:30:29.60</t>
  </si>
  <si>
    <t>02:31:08.40</t>
  </si>
  <si>
    <t>02:31:57.10</t>
  </si>
  <si>
    <t>BORGIA</t>
  </si>
  <si>
    <t>02:32:13.40</t>
  </si>
  <si>
    <t>COLLOT</t>
  </si>
  <si>
    <t>02:32:19.40</t>
  </si>
  <si>
    <t>FACCIN</t>
  </si>
  <si>
    <t>02:32:19.50</t>
  </si>
  <si>
    <t>02:32:21.30</t>
  </si>
  <si>
    <t>MUSCONI</t>
  </si>
  <si>
    <t>02:32:38.60</t>
  </si>
  <si>
    <t>INVERNIZZI</t>
  </si>
  <si>
    <t>SUSANNA</t>
  </si>
  <si>
    <t>02:32:41.20</t>
  </si>
  <si>
    <t>GS CESI</t>
  </si>
  <si>
    <t>02:32:58.10</t>
  </si>
  <si>
    <t>LORENA</t>
  </si>
  <si>
    <t>02:33:47.10</t>
  </si>
  <si>
    <t>POL GLORIE</t>
  </si>
  <si>
    <t>02:34:06.70</t>
  </si>
  <si>
    <t>ASD COLLI CICLI VELO SPORT</t>
  </si>
  <si>
    <t>02:34:45.40</t>
  </si>
  <si>
    <t>TURRINI</t>
  </si>
  <si>
    <t>ALEXANDRA</t>
  </si>
  <si>
    <t>02:34:45.60</t>
  </si>
  <si>
    <t>VELO CLUB BRIANZA</t>
  </si>
  <si>
    <t>02:34:49.30</t>
  </si>
  <si>
    <t>BROGLIO</t>
  </si>
  <si>
    <t>ASD CICLI DE ROSSI-ZUCCATO</t>
  </si>
  <si>
    <t>02:34:56.40</t>
  </si>
  <si>
    <t>LAURIA</t>
  </si>
  <si>
    <t>MARIA PAOLA</t>
  </si>
  <si>
    <t>02:35:06.60</t>
  </si>
  <si>
    <t>02:35:12.80</t>
  </si>
  <si>
    <t>02:35:23.50</t>
  </si>
  <si>
    <t>ASD IL PEDALE SANTARCANGELESE</t>
  </si>
  <si>
    <t>02:35:24.60</t>
  </si>
  <si>
    <t>02:35:26.10</t>
  </si>
  <si>
    <t>MAIANI</t>
  </si>
  <si>
    <t>ASD AGLIANA CICLISMO</t>
  </si>
  <si>
    <t>02:35:30.40</t>
  </si>
  <si>
    <t>VASCO</t>
  </si>
  <si>
    <t>UC AGLIANA CICLISMO</t>
  </si>
  <si>
    <t>02:35:38.40</t>
  </si>
  <si>
    <t>02:35:40.80</t>
  </si>
  <si>
    <t>UGOLINI</t>
  </si>
  <si>
    <t>02:35:45.10</t>
  </si>
  <si>
    <t>GALLONE</t>
  </si>
  <si>
    <t>02:35:57.30</t>
  </si>
  <si>
    <t>TEDESCO</t>
  </si>
  <si>
    <t>02:36:22.40</t>
  </si>
  <si>
    <t>FABRI</t>
  </si>
  <si>
    <t>02:36:32.10</t>
  </si>
  <si>
    <t>TARSI</t>
  </si>
  <si>
    <t>ALVISE</t>
  </si>
  <si>
    <t>02:36:33.10</t>
  </si>
  <si>
    <t>DERNINI</t>
  </si>
  <si>
    <t>ASD PERSIGNANO</t>
  </si>
  <si>
    <t>02:36:45.10</t>
  </si>
  <si>
    <t>02:38:03.10</t>
  </si>
  <si>
    <t>02:38:32.40</t>
  </si>
  <si>
    <t>US CUSAGO</t>
  </si>
  <si>
    <t>02:38:44.10</t>
  </si>
  <si>
    <t>CUZZIOL</t>
  </si>
  <si>
    <t>02:38:50.30</t>
  </si>
  <si>
    <t>FOSCARIN</t>
  </si>
  <si>
    <t>02:39:30.70</t>
  </si>
  <si>
    <t>BORELLA</t>
  </si>
  <si>
    <t>02:39:36.60</t>
  </si>
  <si>
    <t>SMERGHETTO</t>
  </si>
  <si>
    <t>02:39:49.10</t>
  </si>
  <si>
    <t>FRANCIONI</t>
  </si>
  <si>
    <t>02:39:53.40</t>
  </si>
  <si>
    <t>02:39:55.40</t>
  </si>
  <si>
    <t>LEPORINI</t>
  </si>
  <si>
    <t>02:40:11.60</t>
  </si>
  <si>
    <t>LUSARDI</t>
  </si>
  <si>
    <t>02:40:15.60</t>
  </si>
  <si>
    <t>SC ROVEREDO IN PIANO</t>
  </si>
  <si>
    <t>02:40:32.20</t>
  </si>
  <si>
    <t>MACCIONI</t>
  </si>
  <si>
    <t>02:41:17.00</t>
  </si>
  <si>
    <t>FITTAVOLINI</t>
  </si>
  <si>
    <t>02:41:51.50</t>
  </si>
  <si>
    <t>VERONESI</t>
  </si>
  <si>
    <t>02:42:42.30</t>
  </si>
  <si>
    <t>ALIPRANDI</t>
  </si>
  <si>
    <t>TEAM PEZZETTI</t>
  </si>
  <si>
    <t>02:42:45.30</t>
  </si>
  <si>
    <t>BAZZI</t>
  </si>
  <si>
    <t>02:42:46.80</t>
  </si>
  <si>
    <t>02:43:10.20</t>
  </si>
  <si>
    <t>TRASTULLO</t>
  </si>
  <si>
    <t>02:43:29.30</t>
  </si>
  <si>
    <t>FAIETA</t>
  </si>
  <si>
    <t>02:43:42.60</t>
  </si>
  <si>
    <t>BONGIOVANNI</t>
  </si>
  <si>
    <t>02:44:37.30</t>
  </si>
  <si>
    <t>BUCKLEY</t>
  </si>
  <si>
    <t>JOSHUA</t>
  </si>
  <si>
    <t>DRIVER LICENSE</t>
  </si>
  <si>
    <t>02:45:18.70</t>
  </si>
  <si>
    <t>AMICI</t>
  </si>
  <si>
    <t>02:45:34.40</t>
  </si>
  <si>
    <t>CIUCCI</t>
  </si>
  <si>
    <t>02:45:35.20</t>
  </si>
  <si>
    <t>TEAM CAPECCHI</t>
  </si>
  <si>
    <t>02:46:10.40</t>
  </si>
  <si>
    <t>BERTAZZINI</t>
  </si>
  <si>
    <t>02:46:14.40</t>
  </si>
  <si>
    <t>02:48:01.80</t>
  </si>
  <si>
    <t>CERINI</t>
  </si>
  <si>
    <t>02:48:11.20</t>
  </si>
  <si>
    <t>02:49:40.20</t>
  </si>
  <si>
    <t>NARDONI</t>
  </si>
  <si>
    <t>02:50:45.40</t>
  </si>
  <si>
    <t>SABBATANI</t>
  </si>
  <si>
    <t>02:51:26.60</t>
  </si>
  <si>
    <t>CAMPOLO</t>
  </si>
  <si>
    <t>EUROBIKE</t>
  </si>
  <si>
    <t>02:51:35.60</t>
  </si>
  <si>
    <t>DE MARTINI</t>
  </si>
  <si>
    <t>02:52:04.40</t>
  </si>
  <si>
    <t>CASABURO</t>
  </si>
  <si>
    <t>02:52:07.50</t>
  </si>
  <si>
    <t>ALLEMANDI</t>
  </si>
  <si>
    <t>02:53:25.20</t>
  </si>
  <si>
    <t>DE GREGORIO</t>
  </si>
  <si>
    <t>02:53:50.20</t>
  </si>
  <si>
    <t>NOAL</t>
  </si>
  <si>
    <t>02:54:04.80</t>
  </si>
  <si>
    <t>DE GISI</t>
  </si>
  <si>
    <t>02:55:17.30</t>
  </si>
  <si>
    <t>JAURES</t>
  </si>
  <si>
    <t>AS COOPERATORI UNIPOL</t>
  </si>
  <si>
    <t>02:55:20.70</t>
  </si>
  <si>
    <t>02:55:38.00</t>
  </si>
  <si>
    <t>MATINI</t>
  </si>
  <si>
    <t>GS DICOMANO BICI</t>
  </si>
  <si>
    <t>02:55:51.50</t>
  </si>
  <si>
    <t>02:55:52.10</t>
  </si>
  <si>
    <t>BINI</t>
  </si>
  <si>
    <t>02:55:53.30</t>
  </si>
  <si>
    <t>FALIERO</t>
  </si>
  <si>
    <t>02:55:54.10</t>
  </si>
  <si>
    <t>PADOVANI</t>
  </si>
  <si>
    <t>TEAM LA BICICLETTERIA</t>
  </si>
  <si>
    <t>02:55:55.30</t>
  </si>
  <si>
    <t>02:55:56.20</t>
  </si>
  <si>
    <t>02:55:57.70</t>
  </si>
  <si>
    <t>FARRI</t>
  </si>
  <si>
    <t>02:56:07.70</t>
  </si>
  <si>
    <t>OMBRONI</t>
  </si>
  <si>
    <t>02:56:13.70</t>
  </si>
  <si>
    <t>DI FELICE</t>
  </si>
  <si>
    <t>ALADINO</t>
  </si>
  <si>
    <t>ASD TERAMUN</t>
  </si>
  <si>
    <t>02:56:26.20</t>
  </si>
  <si>
    <t>GONI</t>
  </si>
  <si>
    <t>02:57:07.40</t>
  </si>
  <si>
    <t>MARAVALLI</t>
  </si>
  <si>
    <t>02:57:10.80</t>
  </si>
  <si>
    <t>KISS</t>
  </si>
  <si>
    <t>02:57:14.70</t>
  </si>
  <si>
    <t>MEZZADRI</t>
  </si>
  <si>
    <t>02:58:31.60</t>
  </si>
  <si>
    <t>UC ALATRI ASD</t>
  </si>
  <si>
    <t>02:58:32.20</t>
  </si>
  <si>
    <t>PIZZONI</t>
  </si>
  <si>
    <t>02:58:37.10</t>
  </si>
  <si>
    <t>ZAMBELLI MARIANI</t>
  </si>
  <si>
    <t>02:59:42.20</t>
  </si>
  <si>
    <t>DE BORTOLI</t>
  </si>
  <si>
    <t>02:59:42.90</t>
  </si>
  <si>
    <t>02:59:54.30</t>
  </si>
  <si>
    <t>03:01:19.40</t>
  </si>
  <si>
    <t>FRANZIN</t>
  </si>
  <si>
    <t>03:01:43.10</t>
  </si>
  <si>
    <t>03:01:50.30</t>
  </si>
  <si>
    <t>FRONDUTI</t>
  </si>
  <si>
    <t>GC F. MOSER MILANO</t>
  </si>
  <si>
    <t>03:02:11.10</t>
  </si>
  <si>
    <t>TRAPANI</t>
  </si>
  <si>
    <t>ROBERT</t>
  </si>
  <si>
    <t>03:03:32.30</t>
  </si>
  <si>
    <t>03:03:33.40</t>
  </si>
  <si>
    <t>FOGLINI</t>
  </si>
  <si>
    <t>03:03:45.50</t>
  </si>
  <si>
    <t>03:03:53.50</t>
  </si>
  <si>
    <t>FRANCOLINI</t>
  </si>
  <si>
    <t>03:05:03.10</t>
  </si>
  <si>
    <t>LA LONGA</t>
  </si>
  <si>
    <t>03:05:44.50</t>
  </si>
  <si>
    <t>BUONOMO</t>
  </si>
  <si>
    <t>03:05:52.00</t>
  </si>
  <si>
    <t>RENNA</t>
  </si>
  <si>
    <t>SABRINA</t>
  </si>
  <si>
    <t>03:06:38.70</t>
  </si>
  <si>
    <t>BAIARDI</t>
  </si>
  <si>
    <t>03:06:47.10</t>
  </si>
  <si>
    <t>03:06:52.10</t>
  </si>
  <si>
    <t>03:07:54.60</t>
  </si>
  <si>
    <t>MURANO</t>
  </si>
  <si>
    <t>VALENTINA</t>
  </si>
  <si>
    <t>03:08:50.10</t>
  </si>
  <si>
    <t>LONGO</t>
  </si>
  <si>
    <t>03:09:51.80</t>
  </si>
  <si>
    <t>03:09:53.00</t>
  </si>
  <si>
    <t>DEATRINI</t>
  </si>
  <si>
    <t>03:09:58.30</t>
  </si>
  <si>
    <t>CANDIANO</t>
  </si>
  <si>
    <t>03:10:51.20</t>
  </si>
  <si>
    <t>CINGI</t>
  </si>
  <si>
    <t>03:11:41.30</t>
  </si>
  <si>
    <t>03:11:47.00</t>
  </si>
  <si>
    <t>BORCIANI</t>
  </si>
  <si>
    <t>ARONNE</t>
  </si>
  <si>
    <t>03:11:49.80</t>
  </si>
  <si>
    <t>03:11:57.80</t>
  </si>
  <si>
    <t>GUIDA</t>
  </si>
  <si>
    <t>GC MOBILI ARZANI</t>
  </si>
  <si>
    <t>03:11:58.10</t>
  </si>
  <si>
    <t>MENOZZI</t>
  </si>
  <si>
    <t>03:12:00.70</t>
  </si>
  <si>
    <t>03:12:01.10</t>
  </si>
  <si>
    <t>03:12:12.10</t>
  </si>
  <si>
    <t>CESCHIA</t>
  </si>
  <si>
    <t>03:15:01.30</t>
  </si>
  <si>
    <t>GIOVI</t>
  </si>
  <si>
    <t>GS NAZIONALE</t>
  </si>
  <si>
    <t>03:19:46.80</t>
  </si>
  <si>
    <t>03:19:48.20</t>
  </si>
  <si>
    <t>MENICHELLI</t>
  </si>
  <si>
    <t>03:19:56.20</t>
  </si>
  <si>
    <t>03:19:58.50</t>
  </si>
  <si>
    <t>03:20:25.90</t>
  </si>
  <si>
    <t>CASTELLUCCI</t>
  </si>
  <si>
    <t>LANFRANCO</t>
  </si>
  <si>
    <t>03:22:20.20</t>
  </si>
  <si>
    <t>PONCINA</t>
  </si>
  <si>
    <t>GC CAVARZERANO</t>
  </si>
  <si>
    <t>03:23:07.90</t>
  </si>
  <si>
    <t>SANI</t>
  </si>
  <si>
    <t>GS BIANCHI TEAM</t>
  </si>
  <si>
    <t>03:24:49.30</t>
  </si>
  <si>
    <t>SC BYROLL</t>
  </si>
  <si>
    <t>03:26:29.40</t>
  </si>
  <si>
    <t>BORGOGNI</t>
  </si>
  <si>
    <t>03:30:35.10</t>
  </si>
  <si>
    <t>BRIGIDI</t>
  </si>
  <si>
    <t>03:32:45.40</t>
  </si>
  <si>
    <t>FLORI</t>
  </si>
  <si>
    <t>03:32:47.60</t>
  </si>
  <si>
    <t>MARZI</t>
  </si>
  <si>
    <t>03:33:08.80</t>
  </si>
  <si>
    <t>04:01:47.80</t>
  </si>
  <si>
    <t>24/33</t>
  </si>
  <si>
    <t>13/13</t>
  </si>
  <si>
    <t>18/23</t>
  </si>
  <si>
    <t>3/7</t>
  </si>
  <si>
    <t>03:56:07.20</t>
  </si>
  <si>
    <t>03:56:07.30</t>
  </si>
  <si>
    <t>CREMONINI</t>
  </si>
  <si>
    <t>CIRCOLO DOZZA ASD</t>
  </si>
  <si>
    <t>03:56:11.00</t>
  </si>
  <si>
    <t>DALL'OSSO</t>
  </si>
  <si>
    <t>LETIZIA</t>
  </si>
  <si>
    <t>03:56:16.40</t>
  </si>
  <si>
    <t>BARGNESI</t>
  </si>
  <si>
    <t>ASD PASTICCERIA DOLCISSIMA</t>
  </si>
  <si>
    <t>03:56:25.10</t>
  </si>
  <si>
    <t>BAROSI</t>
  </si>
  <si>
    <t>OLIMPIA BIKE</t>
  </si>
  <si>
    <t>03:56:25.60</t>
  </si>
  <si>
    <t>VECCHIETTI</t>
  </si>
  <si>
    <t>ANGELA</t>
  </si>
  <si>
    <t>MTB CLUB KICECE'</t>
  </si>
  <si>
    <t>03:56:33.10</t>
  </si>
  <si>
    <t>DI LELLA</t>
  </si>
  <si>
    <t>GIROLAMO</t>
  </si>
  <si>
    <t>03:56:36.50</t>
  </si>
  <si>
    <t>03:56:38.20</t>
  </si>
  <si>
    <t>BAIESI</t>
  </si>
  <si>
    <t>03:56:43.50</t>
  </si>
  <si>
    <t>03:56:46.10</t>
  </si>
  <si>
    <t>SILVIA</t>
  </si>
  <si>
    <t>03:56:49.70</t>
  </si>
  <si>
    <t>03:56:50.20</t>
  </si>
  <si>
    <t>CICOGNANI</t>
  </si>
  <si>
    <t>03:57:01.60</t>
  </si>
  <si>
    <t>ROSETTI</t>
  </si>
  <si>
    <t>03:57:15.20</t>
  </si>
  <si>
    <t>PASSARELLA</t>
  </si>
  <si>
    <t>03:57:17.10</t>
  </si>
  <si>
    <t>TINOZZI</t>
  </si>
  <si>
    <t>03:57:18.20</t>
  </si>
  <si>
    <t>BONONI</t>
  </si>
  <si>
    <t>03:57:18.30</t>
  </si>
  <si>
    <t>03:57:20.30</t>
  </si>
  <si>
    <t>03:57:31.20</t>
  </si>
  <si>
    <t>MERCURI</t>
  </si>
  <si>
    <t>OTELLO</t>
  </si>
  <si>
    <t>AVIS FERMO</t>
  </si>
  <si>
    <t>03:57:31.50</t>
  </si>
  <si>
    <t>BORTOLON</t>
  </si>
  <si>
    <t>03:57:32.00</t>
  </si>
  <si>
    <t>DINO</t>
  </si>
  <si>
    <t>03:57:33.80</t>
  </si>
  <si>
    <t>CENTA</t>
  </si>
  <si>
    <t>EVA</t>
  </si>
  <si>
    <t>PEDALE FELTRINO</t>
  </si>
  <si>
    <t>03:57:36.20</t>
  </si>
  <si>
    <t>CAPPELLARO</t>
  </si>
  <si>
    <t>TATIANA</t>
  </si>
  <si>
    <t>03:57:37.60</t>
  </si>
  <si>
    <t>03:57:38.40</t>
  </si>
  <si>
    <t>03:57:39.40</t>
  </si>
  <si>
    <t>03:57:39.60</t>
  </si>
  <si>
    <t>DELLA GIUSTINA</t>
  </si>
  <si>
    <t>ELVIO</t>
  </si>
  <si>
    <t>DLF MODENA</t>
  </si>
  <si>
    <t>03:57:40.20</t>
  </si>
  <si>
    <t>INAMA</t>
  </si>
  <si>
    <t>03:57:43.10</t>
  </si>
  <si>
    <t>03:57:45.20</t>
  </si>
  <si>
    <t>FELICIANO</t>
  </si>
  <si>
    <t>GS CICLI OLIVIERO</t>
  </si>
  <si>
    <t>CASTIGLIA</t>
  </si>
  <si>
    <t>CICLO HOBBY MTB TEAM</t>
  </si>
  <si>
    <t>03:57:45.50</t>
  </si>
  <si>
    <t>CIARAMELLA</t>
  </si>
  <si>
    <t>03:57:53.10</t>
  </si>
  <si>
    <t>ATTILA</t>
  </si>
  <si>
    <t>03:57:53.70</t>
  </si>
  <si>
    <t>BELLUCCI</t>
  </si>
  <si>
    <t>MONICA</t>
  </si>
  <si>
    <t>03:57:56.30</t>
  </si>
  <si>
    <t>POZZATO</t>
  </si>
  <si>
    <t>03:58:02.50</t>
  </si>
  <si>
    <t>BELEFFI</t>
  </si>
  <si>
    <t>03:58:04.10</t>
  </si>
  <si>
    <t>ZANTA</t>
  </si>
  <si>
    <t>03:58:11.30</t>
  </si>
  <si>
    <t>MODOTTO</t>
  </si>
  <si>
    <t>03:58:11.80</t>
  </si>
  <si>
    <t>SCALCO</t>
  </si>
  <si>
    <t>UC CAVAZZALE</t>
  </si>
  <si>
    <t>03:58:13.60</t>
  </si>
  <si>
    <t>CLEMENTE</t>
  </si>
  <si>
    <t>03:58:27.10</t>
  </si>
  <si>
    <t>BETTI</t>
  </si>
  <si>
    <t>GIOVANNA</t>
  </si>
  <si>
    <t>03:58:28.20</t>
  </si>
  <si>
    <t>ALBORI</t>
  </si>
  <si>
    <t>03:58:31.20</t>
  </si>
  <si>
    <t>03:58:32.20</t>
  </si>
  <si>
    <t>REALI</t>
  </si>
  <si>
    <t>03:58:57.40</t>
  </si>
  <si>
    <t>BIA</t>
  </si>
  <si>
    <t>GS CICLI ILARIO</t>
  </si>
  <si>
    <t>03:59:01.20</t>
  </si>
  <si>
    <t>AVIS SAN LAZZARO</t>
  </si>
  <si>
    <t>03:59:03.00</t>
  </si>
  <si>
    <t>DOMENICHINI</t>
  </si>
  <si>
    <t>FERRUCCIO</t>
  </si>
  <si>
    <t>03:59:04.60</t>
  </si>
  <si>
    <t>CESTARI</t>
  </si>
  <si>
    <t>GS PEDALE 73</t>
  </si>
  <si>
    <t>03:59:15.20</t>
  </si>
  <si>
    <t>CALBUCCI</t>
  </si>
  <si>
    <t>03:59:16.20</t>
  </si>
  <si>
    <t>03:59:19.10</t>
  </si>
  <si>
    <t>JOANNE</t>
  </si>
  <si>
    <t>03:59:20.00</t>
  </si>
  <si>
    <t>03:59:22.00</t>
  </si>
  <si>
    <t>PEDRON</t>
  </si>
  <si>
    <t>03:59:26.10</t>
  </si>
  <si>
    <t>ZONGHETTI</t>
  </si>
  <si>
    <t>03:59:26.20</t>
  </si>
  <si>
    <t>03:59:26.70</t>
  </si>
  <si>
    <t>VIGANI</t>
  </si>
  <si>
    <t>OROBIKE TRESCORE</t>
  </si>
  <si>
    <t>03:59:30.00</t>
  </si>
  <si>
    <t>FIORELLI</t>
  </si>
  <si>
    <t>03:59:31.10</t>
  </si>
  <si>
    <t>MANDOLINI</t>
  </si>
  <si>
    <t>AMICI DELLA BICI SENIGALLIA</t>
  </si>
  <si>
    <t>03:59:33.20</t>
  </si>
  <si>
    <t>03:59:37.60</t>
  </si>
  <si>
    <t>GIORGETTI</t>
  </si>
  <si>
    <t>03:59:39.40</t>
  </si>
  <si>
    <t>CASSANI</t>
  </si>
  <si>
    <t>PAOLA</t>
  </si>
  <si>
    <t>03:59:41.20</t>
  </si>
  <si>
    <t>CALISESI</t>
  </si>
  <si>
    <t>03:59:49.30</t>
  </si>
  <si>
    <t>COLETTA</t>
  </si>
  <si>
    <t>04:00:01.10</t>
  </si>
  <si>
    <t>NESPOLINI</t>
  </si>
  <si>
    <t>04:00:06.30</t>
  </si>
  <si>
    <t>PARINI</t>
  </si>
  <si>
    <t>ALFIERO</t>
  </si>
  <si>
    <t>04:00:10.20</t>
  </si>
  <si>
    <t>SCHINA</t>
  </si>
  <si>
    <t>ASD CICLOAMATORI BELLEGRA</t>
  </si>
  <si>
    <t>04:00:11.20</t>
  </si>
  <si>
    <t>PREGNOLATO</t>
  </si>
  <si>
    <t>GS TAGLIO DI PO</t>
  </si>
  <si>
    <t>04:00:13.20</t>
  </si>
  <si>
    <t>MINERVINO</t>
  </si>
  <si>
    <t>GIANDOMENICO</t>
  </si>
  <si>
    <t>SC CASAMASSIMA</t>
  </si>
  <si>
    <t>04:00:16.00</t>
  </si>
  <si>
    <t>PROIETTI</t>
  </si>
  <si>
    <t>04:00:17.60</t>
  </si>
  <si>
    <t>RIPARI</t>
  </si>
  <si>
    <t>ASD PICENUM PLAST</t>
  </si>
  <si>
    <t>04:00:21.50</t>
  </si>
  <si>
    <t>DALLA CASA</t>
  </si>
  <si>
    <t>EURO</t>
  </si>
  <si>
    <t>04:00:23.30</t>
  </si>
  <si>
    <t>BORELLINI</t>
  </si>
  <si>
    <t>POL S FAUSTINO</t>
  </si>
  <si>
    <t>04:00:29.40</t>
  </si>
  <si>
    <t>STRADA</t>
  </si>
  <si>
    <t>GS PEDALE NOVATESE</t>
  </si>
  <si>
    <t>04:00:32.20</t>
  </si>
  <si>
    <t>ARMEODO</t>
  </si>
  <si>
    <t>MARIA ANTONIETTA</t>
  </si>
  <si>
    <t>CICLI PEPINO CUNEO</t>
  </si>
  <si>
    <t>CASAVECCHIA</t>
  </si>
  <si>
    <t>BACIGA ASD</t>
  </si>
  <si>
    <t>04:00:32.30</t>
  </si>
  <si>
    <t>PIOVACCARI</t>
  </si>
  <si>
    <t>04:00:33.00</t>
  </si>
  <si>
    <t>CSP PONTELAGO</t>
  </si>
  <si>
    <t>04:00:36.20</t>
  </si>
  <si>
    <t>CARAGLIANO</t>
  </si>
  <si>
    <t>04:00:38.20</t>
  </si>
  <si>
    <t>FORTIBUONI</t>
  </si>
  <si>
    <t>04:00:43.10</t>
  </si>
  <si>
    <t>04:00:49.80</t>
  </si>
  <si>
    <t>MANFRONE</t>
  </si>
  <si>
    <t>DOPOLAVORO FERROVIARIO BOLOGNA</t>
  </si>
  <si>
    <t>04:00:50.00</t>
  </si>
  <si>
    <t>NOCCIOLETTI</t>
  </si>
  <si>
    <t>GIANPIERO</t>
  </si>
  <si>
    <t>GS AREZZO BIKE</t>
  </si>
  <si>
    <t>04:01:00.30</t>
  </si>
  <si>
    <t>SILECI</t>
  </si>
  <si>
    <t>04:01:05.30</t>
  </si>
  <si>
    <t>CAMUFFO</t>
  </si>
  <si>
    <t>04:01:08.10</t>
  </si>
  <si>
    <t>POLISPORTIVA GATTOLINO</t>
  </si>
  <si>
    <t>04:01:10.20</t>
  </si>
  <si>
    <t>BIROLI</t>
  </si>
  <si>
    <t>TEAM ISO-SISTEM TECNOLOGIE</t>
  </si>
  <si>
    <t>04:01:13.30</t>
  </si>
  <si>
    <t>CIPOLLETTA</t>
  </si>
  <si>
    <t>04:01:18.40</t>
  </si>
  <si>
    <t>QUADRI</t>
  </si>
  <si>
    <t>MORENA</t>
  </si>
  <si>
    <t>GIANLUCA FAENZA HYMER TEAM</t>
  </si>
  <si>
    <t>04:01:22.50</t>
  </si>
  <si>
    <t>MENEGAZZO</t>
  </si>
  <si>
    <t>04:01:24.50</t>
  </si>
  <si>
    <t>04:01:28.10</t>
  </si>
  <si>
    <t>RAMILLI</t>
  </si>
  <si>
    <t>04:01:29.30</t>
  </si>
  <si>
    <t>DAMIANO</t>
  </si>
  <si>
    <t>04:01:32.70</t>
  </si>
  <si>
    <t>ALBERGHINI</t>
  </si>
  <si>
    <t>ASD PALERMA SPORT-AMARANDI</t>
  </si>
  <si>
    <t>04:01:37.20</t>
  </si>
  <si>
    <t>NOCENTINI</t>
  </si>
  <si>
    <t>04:01:39.50</t>
  </si>
  <si>
    <t>PIEROZZI</t>
  </si>
  <si>
    <t>04:01:43.20</t>
  </si>
  <si>
    <t>TEAM FANTOLINO</t>
  </si>
  <si>
    <t>04:01:44.20</t>
  </si>
  <si>
    <t>BARON</t>
  </si>
  <si>
    <t>DONATELLA</t>
  </si>
  <si>
    <t>UC LUPI</t>
  </si>
  <si>
    <t>04:02:00.50</t>
  </si>
  <si>
    <t>ZAMBON</t>
  </si>
  <si>
    <t>04:02:12.00</t>
  </si>
  <si>
    <t>TRABACE</t>
  </si>
  <si>
    <t>04:02:17.60</t>
  </si>
  <si>
    <t>BACCHI</t>
  </si>
  <si>
    <t>ASD CICLISTI SUZZARESI</t>
  </si>
  <si>
    <t>04:02:18.60</t>
  </si>
  <si>
    <t>CERTA</t>
  </si>
  <si>
    <t>04:02:24.10</t>
  </si>
  <si>
    <t>GC. VIRTUS WATER TEAM</t>
  </si>
  <si>
    <t>04:02:28.10</t>
  </si>
  <si>
    <t>BALLARDINI</t>
  </si>
  <si>
    <t>04:02:31.70</t>
  </si>
  <si>
    <t>04:02:33.00</t>
  </si>
  <si>
    <t>LUCCHI</t>
  </si>
  <si>
    <t>04:02:38.50</t>
  </si>
  <si>
    <t>04:02:41.20</t>
  </si>
  <si>
    <t>LAVELLA</t>
  </si>
  <si>
    <t>04:02:41.30</t>
  </si>
  <si>
    <t>04:02:43.60</t>
  </si>
  <si>
    <t>PASTORELLO</t>
  </si>
  <si>
    <t>04:02:48.40</t>
  </si>
  <si>
    <t>FANTINI</t>
  </si>
  <si>
    <t>PIERCARLO</t>
  </si>
  <si>
    <t>04:02:49.70</t>
  </si>
  <si>
    <t>FONTANA</t>
  </si>
  <si>
    <t>04:02:53.10</t>
  </si>
  <si>
    <t>BALDASSARI</t>
  </si>
  <si>
    <t>04:02:56.30</t>
  </si>
  <si>
    <t>ANTONICELLI</t>
  </si>
  <si>
    <t>04:03:04.20</t>
  </si>
  <si>
    <t>ACCINI</t>
  </si>
  <si>
    <t>04:03:09.10</t>
  </si>
  <si>
    <t>PIROZZI</t>
  </si>
  <si>
    <t>BICIMANIA TERNI</t>
  </si>
  <si>
    <t>04:03:12.40</t>
  </si>
  <si>
    <t>FIORENTIN</t>
  </si>
  <si>
    <t>TEAM  GRAN FONDO LIOTTO</t>
  </si>
  <si>
    <t>04:03:26.10</t>
  </si>
  <si>
    <t>MOLINARI</t>
  </si>
  <si>
    <t>04:03:31.60</t>
  </si>
  <si>
    <t>CASTAGNOLI</t>
  </si>
  <si>
    <t>04:03:36.10</t>
  </si>
  <si>
    <t>04:03:38.20</t>
  </si>
  <si>
    <t>NICOLETTA</t>
  </si>
  <si>
    <t>KINOMANA</t>
  </si>
  <si>
    <t>04:03:44.50</t>
  </si>
  <si>
    <t>VALLESE</t>
  </si>
  <si>
    <t>ROCCO</t>
  </si>
  <si>
    <t>04:03:47.50</t>
  </si>
  <si>
    <t>SAVI</t>
  </si>
  <si>
    <t>04:03:52.50</t>
  </si>
  <si>
    <t>GS CICLOCODOGNO '94</t>
  </si>
  <si>
    <t>04:04:00.40</t>
  </si>
  <si>
    <t>MANETTI</t>
  </si>
  <si>
    <t>GS BONCELLINO</t>
  </si>
  <si>
    <t>04:04:04.30</t>
  </si>
  <si>
    <t>MENGONI</t>
  </si>
  <si>
    <t>ANTONELLA</t>
  </si>
  <si>
    <t>04:04:11.00</t>
  </si>
  <si>
    <t>DORIGONI</t>
  </si>
  <si>
    <t>TEAM ZANOLINI BIKE</t>
  </si>
  <si>
    <t>04:04:11.10</t>
  </si>
  <si>
    <t>MAZZETTI</t>
  </si>
  <si>
    <t>04:04:11.30</t>
  </si>
  <si>
    <t>SARDO</t>
  </si>
  <si>
    <t>ALLA</t>
  </si>
  <si>
    <t>GS SANITÀ TERRACINA</t>
  </si>
  <si>
    <t>04:04:12.60</t>
  </si>
  <si>
    <t>GOLFIERI</t>
  </si>
  <si>
    <t>04:04:14.20</t>
  </si>
  <si>
    <t>04:04:18.20</t>
  </si>
  <si>
    <t>SPORTELLI</t>
  </si>
  <si>
    <t>04:04:23.50</t>
  </si>
  <si>
    <t>MARTONI</t>
  </si>
  <si>
    <t>IVANO MASSIMO</t>
  </si>
  <si>
    <t>04:04:26.20</t>
  </si>
  <si>
    <t>GIUNTA</t>
  </si>
  <si>
    <t>04:04:29.40</t>
  </si>
  <si>
    <t>CANAL</t>
  </si>
  <si>
    <t>04:04:30.50</t>
  </si>
  <si>
    <t>04:04:34.30</t>
  </si>
  <si>
    <t>DE AMICIS</t>
  </si>
  <si>
    <t>04:04:40.10</t>
  </si>
  <si>
    <t>RIGATO</t>
  </si>
  <si>
    <t>04:04:48.20</t>
  </si>
  <si>
    <t>FIORENTINI</t>
  </si>
  <si>
    <t>TAGLIATERRA BIKE</t>
  </si>
  <si>
    <t>04:04:56.50</t>
  </si>
  <si>
    <t>BECCHETTI</t>
  </si>
  <si>
    <t>CIRO</t>
  </si>
  <si>
    <t>04:04:57.30</t>
  </si>
  <si>
    <t>ZONI</t>
  </si>
  <si>
    <t>POL. B. BRECHT - RUSSI</t>
  </si>
  <si>
    <t>04:05:07.20</t>
  </si>
  <si>
    <t>FAVERO</t>
  </si>
  <si>
    <t>GS PEDALE OPITERGINO ECOFLAM</t>
  </si>
  <si>
    <t>04:05:10.50</t>
  </si>
  <si>
    <t>RABAIOTTI</t>
  </si>
  <si>
    <t>CRAL CARIPARMA E PIACENZA</t>
  </si>
  <si>
    <t>04:05:13.80</t>
  </si>
  <si>
    <t>04:05:19.70</t>
  </si>
  <si>
    <t>FRIZZO</t>
  </si>
  <si>
    <t>GIAMPIETRO</t>
  </si>
  <si>
    <t>04:05:22.40</t>
  </si>
  <si>
    <t>MAISTRO</t>
  </si>
  <si>
    <t>ASD GAUV</t>
  </si>
  <si>
    <t>04:05:24.50</t>
  </si>
  <si>
    <t>CARRARO</t>
  </si>
  <si>
    <t>CARLA</t>
  </si>
  <si>
    <t>04:05:26.70</t>
  </si>
  <si>
    <t>BENASSUTI</t>
  </si>
  <si>
    <t>04:05:34.30</t>
  </si>
  <si>
    <t>GATTI</t>
  </si>
  <si>
    <t>ASD POL  ACLI  ICARO</t>
  </si>
  <si>
    <t>04:05:34.50</t>
  </si>
  <si>
    <t>MELEGA</t>
  </si>
  <si>
    <t>04:05:53.30</t>
  </si>
  <si>
    <t>NOZZOLI</t>
  </si>
  <si>
    <t>ASD GC AVIS FORLI</t>
  </si>
  <si>
    <t>04:05:57.60</t>
  </si>
  <si>
    <t>DEL CARRO</t>
  </si>
  <si>
    <t>04:06:03.70</t>
  </si>
  <si>
    <t>04:06:03.80</t>
  </si>
  <si>
    <t>LAZZARINI</t>
  </si>
  <si>
    <t>IL BRADIPO</t>
  </si>
  <si>
    <t>04:06:06.20</t>
  </si>
  <si>
    <t>04:06:07.10</t>
  </si>
  <si>
    <t>ORNAGHI</t>
  </si>
  <si>
    <t>RINALDO</t>
  </si>
  <si>
    <t>04:06:14.30</t>
  </si>
  <si>
    <t>04:06:14.70</t>
  </si>
  <si>
    <t>D'ANGELO</t>
  </si>
  <si>
    <t>04:06:18.30</t>
  </si>
  <si>
    <t>VISTA</t>
  </si>
  <si>
    <t>04:06:19.40</t>
  </si>
  <si>
    <t>POLI</t>
  </si>
  <si>
    <t>04:06:23.80</t>
  </si>
  <si>
    <t>SARONNI</t>
  </si>
  <si>
    <t>04:06:26.20</t>
  </si>
  <si>
    <t>TERESA</t>
  </si>
  <si>
    <t>04:06:28.30</t>
  </si>
  <si>
    <t>URBINI</t>
  </si>
  <si>
    <t>04:06:30.10</t>
  </si>
  <si>
    <t>BOFFO</t>
  </si>
  <si>
    <t>04:06:48.60</t>
  </si>
  <si>
    <t>CALAMELLI</t>
  </si>
  <si>
    <t>UISP FAENZA IMOLA</t>
  </si>
  <si>
    <t>04:06:50.20</t>
  </si>
  <si>
    <t>BAULEO</t>
  </si>
  <si>
    <t>04:06:55.70</t>
  </si>
  <si>
    <t>VIOLACCI</t>
  </si>
  <si>
    <t>DANTE</t>
  </si>
  <si>
    <t>04:06:57.10</t>
  </si>
  <si>
    <t>RAVAGLIA</t>
  </si>
  <si>
    <t>04:07:05.50</t>
  </si>
  <si>
    <t>BONFICHI</t>
  </si>
  <si>
    <t>04:07:08.40</t>
  </si>
  <si>
    <t>CAROTI</t>
  </si>
  <si>
    <t>04:07:10.80</t>
  </si>
  <si>
    <t>PIRONI</t>
  </si>
  <si>
    <t>04:07:11.10</t>
  </si>
  <si>
    <t>ZAVOLI</t>
  </si>
  <si>
    <t>04:07:19.10</t>
  </si>
  <si>
    <t>CUOGHI</t>
  </si>
  <si>
    <t>04:07:21.60</t>
  </si>
  <si>
    <t>ORSINI</t>
  </si>
  <si>
    <t>04:07:33.40</t>
  </si>
  <si>
    <t>BIAGIONI</t>
  </si>
  <si>
    <t>04:07:35.20</t>
  </si>
  <si>
    <t>04:07:35.40</t>
  </si>
  <si>
    <t>04:07:37.70</t>
  </si>
  <si>
    <t>BENELLI</t>
  </si>
  <si>
    <t>04:07:38.30</t>
  </si>
  <si>
    <t>MIOTTO</t>
  </si>
  <si>
    <t>04:07:39.30</t>
  </si>
  <si>
    <t>ARCINOVA MONTE S. PIETRO</t>
  </si>
  <si>
    <t>04:07:40.10</t>
  </si>
  <si>
    <t>GUERRA</t>
  </si>
  <si>
    <t>FLERIS</t>
  </si>
  <si>
    <t>SC INWOOL</t>
  </si>
  <si>
    <t>04:07:46.10</t>
  </si>
  <si>
    <t>04:07:49.10</t>
  </si>
  <si>
    <t>04:08:00.40</t>
  </si>
  <si>
    <t>NAZARIO</t>
  </si>
  <si>
    <t>GC PONENTE SANGRILA'</t>
  </si>
  <si>
    <t>04:08:09.30</t>
  </si>
  <si>
    <t>SALVIGNI</t>
  </si>
  <si>
    <t>LUCA GIULIANO</t>
  </si>
  <si>
    <t>04:08:18.10</t>
  </si>
  <si>
    <t>COLLA</t>
  </si>
  <si>
    <t>LUCIANA</t>
  </si>
  <si>
    <t>04:08:18.50</t>
  </si>
  <si>
    <t>TOCCACELI</t>
  </si>
  <si>
    <t>04:08:19.40</t>
  </si>
  <si>
    <t>BONAMICI</t>
  </si>
  <si>
    <t>04:08:19.70</t>
  </si>
  <si>
    <t>04:08:23.70</t>
  </si>
  <si>
    <t>MENETTI</t>
  </si>
  <si>
    <t>04:08:27.20</t>
  </si>
  <si>
    <t>GALLO</t>
  </si>
  <si>
    <t>04:08:38.00</t>
  </si>
  <si>
    <t>04:08:39.10</t>
  </si>
  <si>
    <t>04:08:43.50</t>
  </si>
  <si>
    <t>ROLI</t>
  </si>
  <si>
    <t>04:08:44.00</t>
  </si>
  <si>
    <t>MENCARELLI</t>
  </si>
  <si>
    <t>ALESSANDRA</t>
  </si>
  <si>
    <t>04:08:50.70</t>
  </si>
  <si>
    <t>GS SELLE ITALIA SILVELLESE</t>
  </si>
  <si>
    <t>04:08:54.50</t>
  </si>
  <si>
    <t>EVANGELISTI</t>
  </si>
  <si>
    <t>ROSARIA</t>
  </si>
  <si>
    <t>04:08:55.70</t>
  </si>
  <si>
    <t>DI MECO</t>
  </si>
  <si>
    <t>04:08:59.60</t>
  </si>
  <si>
    <t>MARANI</t>
  </si>
  <si>
    <t>AS.DL DIMENSIONE NATURA DH TEAM</t>
  </si>
  <si>
    <t>04:09:04.00</t>
  </si>
  <si>
    <t>MINORI</t>
  </si>
  <si>
    <t>04:09:35.70</t>
  </si>
  <si>
    <t>ANNALISA</t>
  </si>
  <si>
    <t>04:09:46.40</t>
  </si>
  <si>
    <t>GS VELOCE CLUB CEREA 1883</t>
  </si>
  <si>
    <t>04:09:47.10</t>
  </si>
  <si>
    <t>MORIELLO</t>
  </si>
  <si>
    <t>FORUM BIKE</t>
  </si>
  <si>
    <t>04:09:58.50</t>
  </si>
  <si>
    <t>CELEGATO</t>
  </si>
  <si>
    <t>04:10:08.30</t>
  </si>
  <si>
    <t>US AVIS MONTECCHIO</t>
  </si>
  <si>
    <t>04:10:11.50</t>
  </si>
  <si>
    <t>04:10:13.40</t>
  </si>
  <si>
    <t>DE CICCO</t>
  </si>
  <si>
    <t>04:10:14.30</t>
  </si>
  <si>
    <t>MEZZANOTTI</t>
  </si>
  <si>
    <t>04:10:20.10</t>
  </si>
  <si>
    <t>PANZIERI</t>
  </si>
  <si>
    <t>04:10:21.40</t>
  </si>
  <si>
    <t>BERLUTI</t>
  </si>
  <si>
    <t>HAMOS</t>
  </si>
  <si>
    <t>04:10:23.00</t>
  </si>
  <si>
    <t>04:10:24.30</t>
  </si>
  <si>
    <t>CANTELLI</t>
  </si>
  <si>
    <t>04:10:26.30</t>
  </si>
  <si>
    <t>CACUCCIOLO</t>
  </si>
  <si>
    <t>GC PANIGHINA</t>
  </si>
  <si>
    <t>04:10:28.90</t>
  </si>
  <si>
    <t>04:10:29.10</t>
  </si>
  <si>
    <t>LUCENTE</t>
  </si>
  <si>
    <t>VIS CORTONA TRIATHLON</t>
  </si>
  <si>
    <t>04:10:39.40</t>
  </si>
  <si>
    <t>COMANDINI</t>
  </si>
  <si>
    <t>ISACCO</t>
  </si>
  <si>
    <t>04:10:41.10</t>
  </si>
  <si>
    <t>04:10:51.00</t>
  </si>
  <si>
    <t>CREPALDI</t>
  </si>
  <si>
    <t>04:10:55.10</t>
  </si>
  <si>
    <t>TENTI</t>
  </si>
  <si>
    <t>04:10:58.80</t>
  </si>
  <si>
    <t>NICODEMO</t>
  </si>
  <si>
    <t>04:11:08.10</t>
  </si>
  <si>
    <t>FRATINI</t>
  </si>
  <si>
    <t>ASC CICLI CLEMENTI</t>
  </si>
  <si>
    <t>04:11:10.70</t>
  </si>
  <si>
    <t>CESTARO</t>
  </si>
  <si>
    <t>GS ASPARETTO</t>
  </si>
  <si>
    <t>04:11:11.00</t>
  </si>
  <si>
    <t>LOVATO</t>
  </si>
  <si>
    <t>04:11:11.80</t>
  </si>
  <si>
    <t>GAMBARINI</t>
  </si>
  <si>
    <t>04:11:13.00</t>
  </si>
  <si>
    <t>CHICCOLI</t>
  </si>
  <si>
    <t>GIANLUCA FAENZA</t>
  </si>
  <si>
    <t>04:11:16.20</t>
  </si>
  <si>
    <t>GRANDI</t>
  </si>
  <si>
    <t>04:11:16.40</t>
  </si>
  <si>
    <t>GRAZIA</t>
  </si>
  <si>
    <t>04:11:16.50</t>
  </si>
  <si>
    <t>MORA</t>
  </si>
  <si>
    <t>04:11:19.30</t>
  </si>
  <si>
    <t>CAPORUSSO</t>
  </si>
  <si>
    <t>GC FAUSTO COPPI ACQUAVIVA</t>
  </si>
  <si>
    <t>04:11:19.90</t>
  </si>
  <si>
    <t>CAVINATO</t>
  </si>
  <si>
    <t>04:11:24.60</t>
  </si>
  <si>
    <t>BASILE</t>
  </si>
  <si>
    <t>TEAM B CICLI GALASSIA</t>
  </si>
  <si>
    <t>04:11:25.70</t>
  </si>
  <si>
    <t>MAGGIONI</t>
  </si>
  <si>
    <t>04:11:30.40</t>
  </si>
  <si>
    <t>LAIN</t>
  </si>
  <si>
    <t>FORMIGOSA CARRA</t>
  </si>
  <si>
    <t>04:11:33.60</t>
  </si>
  <si>
    <t>MAGRI</t>
  </si>
  <si>
    <t>04:11:34.50</t>
  </si>
  <si>
    <t>PAGLIAROLI</t>
  </si>
  <si>
    <t>S.CICLISTICA D.APRILIA 59</t>
  </si>
  <si>
    <t>04:11:48.20</t>
  </si>
  <si>
    <t>DANILO</t>
  </si>
  <si>
    <t>04:11:53.30</t>
  </si>
  <si>
    <t>04:11:54.50</t>
  </si>
  <si>
    <t>LUISA</t>
  </si>
  <si>
    <t>04:11:55.20</t>
  </si>
  <si>
    <t>PANINI</t>
  </si>
  <si>
    <t>GS MARIO VEZZELLI</t>
  </si>
  <si>
    <t>04:11:58.40</t>
  </si>
  <si>
    <t>LO CASCIO</t>
  </si>
  <si>
    <t>04:12:01.20</t>
  </si>
  <si>
    <t>TASSINI</t>
  </si>
  <si>
    <t>04:12:01.30</t>
  </si>
  <si>
    <t>TAINO</t>
  </si>
  <si>
    <t>04:12:03.10</t>
  </si>
  <si>
    <t>FERRUCCI</t>
  </si>
  <si>
    <t>04:12:09.40</t>
  </si>
  <si>
    <t>CONFICCONI</t>
  </si>
  <si>
    <t>04:12:09.70</t>
  </si>
  <si>
    <t>04:12:13.70</t>
  </si>
  <si>
    <t>PATRACCHINI</t>
  </si>
  <si>
    <t>ASD CIRC.DIP.BERCO</t>
  </si>
  <si>
    <t>04:12:14.40</t>
  </si>
  <si>
    <t>MAZZINI</t>
  </si>
  <si>
    <t>LUIGINO</t>
  </si>
  <si>
    <t>04:12:15.60</t>
  </si>
  <si>
    <t>RAMPERTI</t>
  </si>
  <si>
    <t>TRANSPLANT SPORT CLUB</t>
  </si>
  <si>
    <t>04:12:22.30</t>
  </si>
  <si>
    <t>PENAZZO</t>
  </si>
  <si>
    <t>LUCIANO MARCELLO</t>
  </si>
  <si>
    <t>04:12:22.40</t>
  </si>
  <si>
    <t>TACCHINI</t>
  </si>
  <si>
    <t>ROLANDO</t>
  </si>
  <si>
    <t>TESTI CICLI PERUGIA</t>
  </si>
  <si>
    <t>04:12:30.50</t>
  </si>
  <si>
    <t>GUIDOTTI</t>
  </si>
  <si>
    <t>ROLANDINO</t>
  </si>
  <si>
    <t>04:12:39.60</t>
  </si>
  <si>
    <t>FISCALETTI</t>
  </si>
  <si>
    <t>04:12:53.10</t>
  </si>
  <si>
    <t>SARTINI</t>
  </si>
  <si>
    <t>04:12:54.50</t>
  </si>
  <si>
    <t>04:12:59.50</t>
  </si>
  <si>
    <t>ILARIA</t>
  </si>
  <si>
    <t>04:13:00.80</t>
  </si>
  <si>
    <t>MELANDRI</t>
  </si>
  <si>
    <t>EMANUELA</t>
  </si>
  <si>
    <t>04:13:02.70</t>
  </si>
  <si>
    <t>BORTOLATO</t>
  </si>
  <si>
    <t>TEAM TINKY LADIES PINARELLO</t>
  </si>
  <si>
    <t>04:13:14.00</t>
  </si>
  <si>
    <t>MONTEVECCHI</t>
  </si>
  <si>
    <t>04:13:14.60</t>
  </si>
  <si>
    <t>PETROLATI</t>
  </si>
  <si>
    <t>ASD IL BICICLO</t>
  </si>
  <si>
    <t>04:13:24.10</t>
  </si>
  <si>
    <t>ALESSANDRI</t>
  </si>
  <si>
    <t>04:13:25.10</t>
  </si>
  <si>
    <t>LUNCARINI</t>
  </si>
  <si>
    <t>ASD NUOVA LARIANESE</t>
  </si>
  <si>
    <t>04:13:27.80</t>
  </si>
  <si>
    <t>LUPETTI</t>
  </si>
  <si>
    <t>04:13:36.60</t>
  </si>
  <si>
    <t>CAPRIOTTI</t>
  </si>
  <si>
    <t>04:13:37.50</t>
  </si>
  <si>
    <t>LUNELLI</t>
  </si>
  <si>
    <t>04:13:51.40</t>
  </si>
  <si>
    <t>BELLINATO</t>
  </si>
  <si>
    <t>04:14:00.40</t>
  </si>
  <si>
    <t>PAVAN</t>
  </si>
  <si>
    <t>04:14:00.60</t>
  </si>
  <si>
    <t>BOSELLO</t>
  </si>
  <si>
    <t>ROMINA</t>
  </si>
  <si>
    <t>04:14:02.20</t>
  </si>
  <si>
    <t>CENDRON</t>
  </si>
  <si>
    <t>VERENA</t>
  </si>
  <si>
    <t>04:14:05.30</t>
  </si>
  <si>
    <t>CANCIAN</t>
  </si>
  <si>
    <t>GROSSO</t>
  </si>
  <si>
    <t>04:14:06.00</t>
  </si>
  <si>
    <t>QUALIZZA</t>
  </si>
  <si>
    <t>SIMONA</t>
  </si>
  <si>
    <t>04:14:08.00</t>
  </si>
  <si>
    <t>VOLONTE'</t>
  </si>
  <si>
    <t>04:14:08.10</t>
  </si>
  <si>
    <t>AGNINI</t>
  </si>
  <si>
    <t>MARIA ROSARIA</t>
  </si>
  <si>
    <t>04:14:08.70</t>
  </si>
  <si>
    <t>VALPIANI</t>
  </si>
  <si>
    <t>04:14:10.10</t>
  </si>
  <si>
    <t>DELLA PIETA'</t>
  </si>
  <si>
    <t>04:14:10.20</t>
  </si>
  <si>
    <t>MAMBELLI</t>
  </si>
  <si>
    <t>VITIELLO</t>
  </si>
  <si>
    <t>04:14:36.30</t>
  </si>
  <si>
    <t>GHELLI</t>
  </si>
  <si>
    <t>04:14:50.50</t>
  </si>
  <si>
    <t>FATTIBENE</t>
  </si>
  <si>
    <t>04:15:05.60</t>
  </si>
  <si>
    <t>TOFFANIN</t>
  </si>
  <si>
    <t>04:15:08.10</t>
  </si>
  <si>
    <t>DOLCI</t>
  </si>
  <si>
    <t>TOMAS</t>
  </si>
  <si>
    <t>BRASA</t>
  </si>
  <si>
    <t>04:15:08.20</t>
  </si>
  <si>
    <t>ZANDOMENEGHI</t>
  </si>
  <si>
    <t>04:15:08.40</t>
  </si>
  <si>
    <t>04:15:09.50</t>
  </si>
  <si>
    <t>TOSCANO</t>
  </si>
  <si>
    <t>04:15:10.00</t>
  </si>
  <si>
    <t>PADOAN</t>
  </si>
  <si>
    <t>THIERRY</t>
  </si>
  <si>
    <t>04:15:12.30</t>
  </si>
  <si>
    <t>LUCCHETTA</t>
  </si>
  <si>
    <t>04:15:13.30</t>
  </si>
  <si>
    <t>LIGORIO</t>
  </si>
  <si>
    <t>SERGIO PANTALEO</t>
  </si>
  <si>
    <t>ASD CILCISTICA BITONE</t>
  </si>
  <si>
    <t>04:15:15.30</t>
  </si>
  <si>
    <t>04:15:23.40</t>
  </si>
  <si>
    <t>PIERRO</t>
  </si>
  <si>
    <t>ASD G.A.C.VALDENGO VIDALE DUE</t>
  </si>
  <si>
    <t>04:15:26.00</t>
  </si>
  <si>
    <t>BALZI</t>
  </si>
  <si>
    <t>04:15:29.80</t>
  </si>
  <si>
    <t>04:15:30.10</t>
  </si>
  <si>
    <t>CARLOMAGNO</t>
  </si>
  <si>
    <t>ASD TURBIKE ROMA</t>
  </si>
  <si>
    <t>04:15:30.60</t>
  </si>
  <si>
    <t>ZANATTA</t>
  </si>
  <si>
    <t>04:15:32.00</t>
  </si>
  <si>
    <t>NERO</t>
  </si>
  <si>
    <t>FABRIZIA</t>
  </si>
  <si>
    <t>04:15:37.10</t>
  </si>
  <si>
    <t>ZANON</t>
  </si>
  <si>
    <t>AMOS</t>
  </si>
  <si>
    <t>04:15:45.60</t>
  </si>
  <si>
    <t>FIOCCHI</t>
  </si>
  <si>
    <t>TEAM SCLAUZERO</t>
  </si>
  <si>
    <t>04:15:45.70</t>
  </si>
  <si>
    <t>PERNAZZA</t>
  </si>
  <si>
    <t>04:15:52.60</t>
  </si>
  <si>
    <t>04:15:54.10</t>
  </si>
  <si>
    <t>VANZANI</t>
  </si>
  <si>
    <t>04:16:03.80</t>
  </si>
  <si>
    <t>FRANCO BENZI</t>
  </si>
  <si>
    <t>04:16:09.50</t>
  </si>
  <si>
    <t>04:16:10.30</t>
  </si>
  <si>
    <t>DINI</t>
  </si>
  <si>
    <t>PARIDE SPORT</t>
  </si>
  <si>
    <t>04:16:14.20</t>
  </si>
  <si>
    <t>04:16:14.60</t>
  </si>
  <si>
    <t>04:16:14.80</t>
  </si>
  <si>
    <t>04:16:24.70</t>
  </si>
  <si>
    <t>GIONTARELLI</t>
  </si>
  <si>
    <t>04:16:27.20</t>
  </si>
  <si>
    <t>04:16:33.20</t>
  </si>
  <si>
    <t>SABATINO</t>
  </si>
  <si>
    <t>FERDINANDO</t>
  </si>
  <si>
    <t>04:16:45.00</t>
  </si>
  <si>
    <t>GAVIOLI</t>
  </si>
  <si>
    <t>04:17:12.30</t>
  </si>
  <si>
    <t>ASD TEAM NOSTROMO</t>
  </si>
  <si>
    <t>04:17:15.50</t>
  </si>
  <si>
    <t>MOTISI</t>
  </si>
  <si>
    <t>MAURIZIA</t>
  </si>
  <si>
    <t>04:17:18.10</t>
  </si>
  <si>
    <t>MATTEA</t>
  </si>
  <si>
    <t>04:17:23.30</t>
  </si>
  <si>
    <t>BALASSO</t>
  </si>
  <si>
    <t>SONIA</t>
  </si>
  <si>
    <t>GS ALPILATTE B.R.PNEUM.ZANE'</t>
  </si>
  <si>
    <t>04:17:25.30</t>
  </si>
  <si>
    <t>BERSANI</t>
  </si>
  <si>
    <t>ASD ARIAZZI</t>
  </si>
  <si>
    <t>04:17:30.70</t>
  </si>
  <si>
    <t>ESPOSITO</t>
  </si>
  <si>
    <t>04:17:33.10</t>
  </si>
  <si>
    <t>DE MURI</t>
  </si>
  <si>
    <t>04:17:34.30</t>
  </si>
  <si>
    <t>MAZZOLA</t>
  </si>
  <si>
    <t>GS CLUB 88</t>
  </si>
  <si>
    <t>04:17:35.70</t>
  </si>
  <si>
    <t>CLUB CICLISTICO GARDOLO</t>
  </si>
  <si>
    <t>04:17:39.60</t>
  </si>
  <si>
    <t>FRAPPAMPINA</t>
  </si>
  <si>
    <t>04:18:03.30</t>
  </si>
  <si>
    <t>REFI</t>
  </si>
  <si>
    <t>04:18:10.00</t>
  </si>
  <si>
    <t>04:18:37.40</t>
  </si>
  <si>
    <t>04:18:43.20</t>
  </si>
  <si>
    <t>SISI</t>
  </si>
  <si>
    <t>04:18:58.10</t>
  </si>
  <si>
    <t>MANZILLO</t>
  </si>
  <si>
    <t>04:19:01.00</t>
  </si>
  <si>
    <t>GC MONDRAGONE</t>
  </si>
  <si>
    <t>04:19:02.60</t>
  </si>
  <si>
    <t>ABBONDANZA</t>
  </si>
  <si>
    <t>04:19:04.20</t>
  </si>
  <si>
    <t>BENDINELLI</t>
  </si>
  <si>
    <t>04:19:08.30</t>
  </si>
  <si>
    <t>VACCHETTI</t>
  </si>
  <si>
    <t>ANTOLINI</t>
  </si>
  <si>
    <t>04:19:08.70</t>
  </si>
  <si>
    <t>04:19:21.60</t>
  </si>
  <si>
    <t>PINARELLO</t>
  </si>
  <si>
    <t>04:19:56.50</t>
  </si>
  <si>
    <t>04:20:01.00</t>
  </si>
  <si>
    <t>04:20:47.20</t>
  </si>
  <si>
    <t>GC FAUSTO COPPI</t>
  </si>
  <si>
    <t>04:20:50.40</t>
  </si>
  <si>
    <t>SCHIAFFINI</t>
  </si>
  <si>
    <t>ERMETE</t>
  </si>
  <si>
    <t>POLISPORTIVA SIRMIONE</t>
  </si>
  <si>
    <t>04:20:58.20</t>
  </si>
  <si>
    <t>GIUDICE</t>
  </si>
  <si>
    <t>04:21:22.30</t>
  </si>
  <si>
    <t>SARTOR</t>
  </si>
  <si>
    <t>04:21:37.40</t>
  </si>
  <si>
    <t>TAVERNARO</t>
  </si>
  <si>
    <t>04:21:41.10</t>
  </si>
  <si>
    <t>GISELLA</t>
  </si>
  <si>
    <t>04:21:44.20</t>
  </si>
  <si>
    <t>MENNONE</t>
  </si>
  <si>
    <t>EDUARDO</t>
  </si>
  <si>
    <t>BICI BIKE CLUB CASERTA</t>
  </si>
  <si>
    <t>04:22:07.40</t>
  </si>
  <si>
    <t>04:22:22.70</t>
  </si>
  <si>
    <t>PASCASI</t>
  </si>
  <si>
    <t>UMBRO</t>
  </si>
  <si>
    <t>04:22:24.30</t>
  </si>
  <si>
    <t>GHIDINI</t>
  </si>
  <si>
    <t>04:22:29.30</t>
  </si>
  <si>
    <t>MARONESE</t>
  </si>
  <si>
    <t>GS C.MANSUE MOBIL REKORD</t>
  </si>
  <si>
    <t>04:22:34.20</t>
  </si>
  <si>
    <t>AMATI</t>
  </si>
  <si>
    <t>04:22:46.10</t>
  </si>
  <si>
    <t>LAZZARON</t>
  </si>
  <si>
    <t>CICLOTURISTICA VITTORIO VENETO</t>
  </si>
  <si>
    <t>04:22:50.50</t>
  </si>
  <si>
    <t>BACCOLINI</t>
  </si>
  <si>
    <t>FILIBERTO</t>
  </si>
  <si>
    <t>04:22:55.30</t>
  </si>
  <si>
    <t>FREGONESE</t>
  </si>
  <si>
    <t>SC DIL BREDA DI PIAVE 2003</t>
  </si>
  <si>
    <t>04:23:10.20</t>
  </si>
  <si>
    <t>04:23:22.10</t>
  </si>
  <si>
    <t>BRAMBILLA</t>
  </si>
  <si>
    <t>ASD BELLINZAGO LOMBARDO</t>
  </si>
  <si>
    <t>04:23:26.50</t>
  </si>
  <si>
    <t>SCORPIO</t>
  </si>
  <si>
    <t>04:24:14.30</t>
  </si>
  <si>
    <t>SCHEMBER</t>
  </si>
  <si>
    <t>04:24:18.30</t>
  </si>
  <si>
    <t>MASSARO</t>
  </si>
  <si>
    <t>04:24:21.20</t>
  </si>
  <si>
    <t>COLOSCHI</t>
  </si>
  <si>
    <t>AMELIO</t>
  </si>
  <si>
    <t>GC SANTA CRISTINA</t>
  </si>
  <si>
    <t>04:24:22.70</t>
  </si>
  <si>
    <t>PASSAQUINDICI</t>
  </si>
  <si>
    <t>04:24:24.20</t>
  </si>
  <si>
    <t>BALZAN</t>
  </si>
  <si>
    <t>04:24:25.10</t>
  </si>
  <si>
    <t>MARCON</t>
  </si>
  <si>
    <t>MARIANGELA</t>
  </si>
  <si>
    <t>04:24:26.10</t>
  </si>
  <si>
    <t>DE LAZZARI</t>
  </si>
  <si>
    <t>AGOSTINO</t>
  </si>
  <si>
    <t>04:24:27.30</t>
  </si>
  <si>
    <t>GS SIDERMEC</t>
  </si>
  <si>
    <t>04:24:57.10</t>
  </si>
  <si>
    <t>CASETTA</t>
  </si>
  <si>
    <t>ASD ARIANESE</t>
  </si>
  <si>
    <t>04:25:26.20</t>
  </si>
  <si>
    <t>PASELLO</t>
  </si>
  <si>
    <t>04:25:53.00</t>
  </si>
  <si>
    <t>ANNESI</t>
  </si>
  <si>
    <t>04:25:55.20</t>
  </si>
  <si>
    <t>MAZZACCHERA</t>
  </si>
  <si>
    <t>GILBERTO</t>
  </si>
  <si>
    <t>ASD MASTINI</t>
  </si>
  <si>
    <t>04:26:18.20</t>
  </si>
  <si>
    <t>SACCHETTI</t>
  </si>
  <si>
    <t>POLISPORTIVA BAGGIOVARA</t>
  </si>
  <si>
    <t>04:26:25.50</t>
  </si>
  <si>
    <t>MARZO</t>
  </si>
  <si>
    <t>EZIO</t>
  </si>
  <si>
    <t>GSC MORLUPO</t>
  </si>
  <si>
    <t>04:26:32.30</t>
  </si>
  <si>
    <t>SIBONI</t>
  </si>
  <si>
    <t>VISCARDO</t>
  </si>
  <si>
    <t>04:26:34.00</t>
  </si>
  <si>
    <t>04:26:36.40</t>
  </si>
  <si>
    <t>ALORI</t>
  </si>
  <si>
    <t>04:26:38.00</t>
  </si>
  <si>
    <t>NADIA</t>
  </si>
  <si>
    <t>POLISPORTIVA 2000 CERVIA</t>
  </si>
  <si>
    <t>04:26:38.80</t>
  </si>
  <si>
    <t>PICCHIOTTI</t>
  </si>
  <si>
    <t>04:26:39.60</t>
  </si>
  <si>
    <t>BRIGANTI</t>
  </si>
  <si>
    <t>04:26:40.00</t>
  </si>
  <si>
    <t>SAMI</t>
  </si>
  <si>
    <t>04:26:44.40</t>
  </si>
  <si>
    <t>ARGELLI</t>
  </si>
  <si>
    <t>04:26:45.70</t>
  </si>
  <si>
    <t>VARINI</t>
  </si>
  <si>
    <t>04:26:48.70</t>
  </si>
  <si>
    <t>PACCHIOLI</t>
  </si>
  <si>
    <t>04:27:11.40</t>
  </si>
  <si>
    <t>CASINI</t>
  </si>
  <si>
    <t>LANINI</t>
  </si>
  <si>
    <t>04:27:18.20</t>
  </si>
  <si>
    <t>MISCHI</t>
  </si>
  <si>
    <t>ASD GS  VINCENZO</t>
  </si>
  <si>
    <t>04:27:29.20</t>
  </si>
  <si>
    <t>04:27:31.40</t>
  </si>
  <si>
    <t>GODOLI</t>
  </si>
  <si>
    <t>04:27:34.40</t>
  </si>
  <si>
    <t>MONFARDINI</t>
  </si>
  <si>
    <t>GIANPIETRO</t>
  </si>
  <si>
    <t>BIKE FOLGORE</t>
  </si>
  <si>
    <t>04:27:48.60</t>
  </si>
  <si>
    <t>ZACCO</t>
  </si>
  <si>
    <t>04:27:49.50</t>
  </si>
  <si>
    <t>CASCIANO</t>
  </si>
  <si>
    <t>04:28:02.10</t>
  </si>
  <si>
    <t>D'ERRICO</t>
  </si>
  <si>
    <t>04:28:35.60</t>
  </si>
  <si>
    <t>RECCHIA</t>
  </si>
  <si>
    <t>PIERA</t>
  </si>
  <si>
    <t>04:28:40.80</t>
  </si>
  <si>
    <t>BON</t>
  </si>
  <si>
    <t>MARIKA</t>
  </si>
  <si>
    <t>04:28:44.70</t>
  </si>
  <si>
    <t>04:28:49.00</t>
  </si>
  <si>
    <t>SACCUCCI</t>
  </si>
  <si>
    <t>MARIA ASSUNTA</t>
  </si>
  <si>
    <t>04:28:51.20</t>
  </si>
  <si>
    <t>PIZZARDI</t>
  </si>
  <si>
    <t>04:28:58.60</t>
  </si>
  <si>
    <t>CALETTI</t>
  </si>
  <si>
    <t>04:29:07.00</t>
  </si>
  <si>
    <t>SGARBI</t>
  </si>
  <si>
    <t>04:29:09.70</t>
  </si>
  <si>
    <t>04:29:24.10</t>
  </si>
  <si>
    <t>DE VITO</t>
  </si>
  <si>
    <t>LA PEDIVELLA 98</t>
  </si>
  <si>
    <t>04:29:27.20</t>
  </si>
  <si>
    <t>GIOMMI</t>
  </si>
  <si>
    <t>04:29:41.50</t>
  </si>
  <si>
    <t>04:29:43.60</t>
  </si>
  <si>
    <t>POGGIOGALLI</t>
  </si>
  <si>
    <t>04:29:55.00</t>
  </si>
  <si>
    <t>04:30:46.00</t>
  </si>
  <si>
    <t>04:31:21.70</t>
  </si>
  <si>
    <t>04:31:32.20</t>
  </si>
  <si>
    <t>CANAPETI</t>
  </si>
  <si>
    <t>GS SCAVOLINI</t>
  </si>
  <si>
    <t>04:31:44.50</t>
  </si>
  <si>
    <t>FACCHINI</t>
  </si>
  <si>
    <t>04:32:58.30</t>
  </si>
  <si>
    <t>GS LE SALINE NATURA E SPORT</t>
  </si>
  <si>
    <t>04:33:06.00</t>
  </si>
  <si>
    <t>ZACCARDINI</t>
  </si>
  <si>
    <t>04:34:01.70</t>
  </si>
  <si>
    <t>CALDARELLI</t>
  </si>
  <si>
    <t>04:34:02.10</t>
  </si>
  <si>
    <t>SCOCCIA</t>
  </si>
  <si>
    <t>04:34:03.20</t>
  </si>
  <si>
    <t>RONCACCI</t>
  </si>
  <si>
    <t>04:34:14.50</t>
  </si>
  <si>
    <t>ERMES</t>
  </si>
  <si>
    <t>04:35:13.80</t>
  </si>
  <si>
    <t>QUERIN</t>
  </si>
  <si>
    <t>04:36:43.50</t>
  </si>
  <si>
    <t>04:37:36.00</t>
  </si>
  <si>
    <t>TORLASCHI</t>
  </si>
  <si>
    <t>STELVIO</t>
  </si>
  <si>
    <t>04:37:55.30</t>
  </si>
  <si>
    <t>DONATELLO</t>
  </si>
  <si>
    <t>GS DIDA CONFEZIONI</t>
  </si>
  <si>
    <t>04:38:12.50</t>
  </si>
  <si>
    <t>STROCCHI</t>
  </si>
  <si>
    <t>ASD GRUPPO SPORTIVO PIANO</t>
  </si>
  <si>
    <t>04:38:45.60</t>
  </si>
  <si>
    <t>OVELLI</t>
  </si>
  <si>
    <t>04:39:24.50</t>
  </si>
  <si>
    <t>MEZZETTI</t>
  </si>
  <si>
    <t>04:39:28.00</t>
  </si>
  <si>
    <t>CORNIOLI</t>
  </si>
  <si>
    <t>04:39:28.30</t>
  </si>
  <si>
    <t>BOSCHI</t>
  </si>
  <si>
    <t>04:40:25.20</t>
  </si>
  <si>
    <t>MARIA LUISA</t>
  </si>
  <si>
    <t>04:40:26.60</t>
  </si>
  <si>
    <t>TIMONCINI</t>
  </si>
  <si>
    <t>04:41:23.10</t>
  </si>
  <si>
    <t>FIORESE</t>
  </si>
  <si>
    <t>ASD CLUB SLYWAY</t>
  </si>
  <si>
    <t>04:43:02.90</t>
  </si>
  <si>
    <t>BELLI</t>
  </si>
  <si>
    <t>04:44:16.00</t>
  </si>
  <si>
    <t>TADDEI</t>
  </si>
  <si>
    <t>04:44:17.20</t>
  </si>
  <si>
    <t>BRIGITTE</t>
  </si>
  <si>
    <t>CORSICA SPRINTER CLUB BASTIAIS</t>
  </si>
  <si>
    <t>04:44:23.70</t>
  </si>
  <si>
    <t>JOSEPH ANTONIE PAUL</t>
  </si>
  <si>
    <t>04:44:31.40</t>
  </si>
  <si>
    <t>VIVARELLI</t>
  </si>
  <si>
    <t>PAUL</t>
  </si>
  <si>
    <t>04:44:36.50</t>
  </si>
  <si>
    <t>BERGIANTI</t>
  </si>
  <si>
    <t>IVAN LUIGI</t>
  </si>
  <si>
    <t>UC ARCETANA</t>
  </si>
  <si>
    <t>04:45:36.10</t>
  </si>
  <si>
    <t>BALENI</t>
  </si>
  <si>
    <t>ROBERTO PAOLO</t>
  </si>
  <si>
    <t>04:46:56.50</t>
  </si>
  <si>
    <t>CROCE</t>
  </si>
  <si>
    <t>04:47:21.10</t>
  </si>
  <si>
    <t>BORDINI</t>
  </si>
  <si>
    <t>CHIARA</t>
  </si>
  <si>
    <t>04:49:10.00</t>
  </si>
  <si>
    <t>AGNOLETTO</t>
  </si>
  <si>
    <t>04:49:23.40</t>
  </si>
  <si>
    <t>MARELLI</t>
  </si>
  <si>
    <t>04:50:22.10</t>
  </si>
  <si>
    <t>04:51:24.50</t>
  </si>
  <si>
    <t>GLORIA</t>
  </si>
  <si>
    <t>UC FRANCESCO BARACCA - LUGO</t>
  </si>
  <si>
    <t>04:53:02.60</t>
  </si>
  <si>
    <t>LOSURDO</t>
  </si>
  <si>
    <t>PASQUA</t>
  </si>
  <si>
    <t>04:54:03.00</t>
  </si>
  <si>
    <t>RUBBOLI</t>
  </si>
  <si>
    <t>04:54:16.80</t>
  </si>
  <si>
    <t>04:56:03.60</t>
  </si>
  <si>
    <t>AZZOTTI</t>
  </si>
  <si>
    <t>CATERINA</t>
  </si>
  <si>
    <t>04:57:09.50</t>
  </si>
  <si>
    <t>LUCHETTI</t>
  </si>
  <si>
    <t>ERIO</t>
  </si>
  <si>
    <t>04:58:44.20</t>
  </si>
  <si>
    <t>STRINGA</t>
  </si>
  <si>
    <t>UISP RAVENNA</t>
  </si>
  <si>
    <t>05:01:00.10</t>
  </si>
  <si>
    <t>PATERNI</t>
  </si>
  <si>
    <t>05:01:28.20</t>
  </si>
  <si>
    <t>TUPPOLANO</t>
  </si>
  <si>
    <t>05:05:53.20</t>
  </si>
  <si>
    <t>DE MARTIN TOLDO</t>
  </si>
  <si>
    <t>LUCIA</t>
  </si>
  <si>
    <t>CLUB CICLO APPENNINICO 1907</t>
  </si>
  <si>
    <t>05:08:16.10</t>
  </si>
  <si>
    <t>PEZZUTTO</t>
  </si>
  <si>
    <t>ASD SPORTIVI DEL PONTE</t>
  </si>
  <si>
    <t>05:10:16.60</t>
  </si>
  <si>
    <t>VACCARO</t>
  </si>
  <si>
    <t>CARMINE</t>
  </si>
  <si>
    <t>05:28:59.10</t>
  </si>
  <si>
    <t>LINDA</t>
  </si>
  <si>
    <t>GC EUROBIKE GENOVA</t>
  </si>
  <si>
    <t>05:43:00.50</t>
  </si>
  <si>
    <t>03:57:55.00</t>
  </si>
  <si>
    <t>BAJENOV</t>
  </si>
  <si>
    <t>ALEXANDER</t>
  </si>
  <si>
    <t>03:57:56.08</t>
  </si>
  <si>
    <t>LADDOMADA</t>
  </si>
  <si>
    <t>ASD AUTOTRASPORTI CONVERTINI DOMENICO</t>
  </si>
  <si>
    <t>03:57:56.10</t>
  </si>
  <si>
    <t>JONES</t>
  </si>
  <si>
    <t>TIMOTHY</t>
  </si>
  <si>
    <t>TEAM MERCKX TUTTOSPORT</t>
  </si>
  <si>
    <t>03:57:58.80</t>
  </si>
  <si>
    <t>MACCANTI</t>
  </si>
  <si>
    <t>03:58:01.70</t>
  </si>
  <si>
    <t>REZZANI</t>
  </si>
  <si>
    <t>03:58:02.00</t>
  </si>
  <si>
    <t>PALUAN</t>
  </si>
  <si>
    <t>VINER TEAM</t>
  </si>
  <si>
    <t>03:58:02.10</t>
  </si>
  <si>
    <t>CARRIERO</t>
  </si>
  <si>
    <t>VALENTINO</t>
  </si>
  <si>
    <t>TEAM SINTESI NAUTILIUS MG K-VIS</t>
  </si>
  <si>
    <t>03:58:02.77</t>
  </si>
  <si>
    <t>CORRADINI</t>
  </si>
  <si>
    <t>TEAM GARMIN-SALIERI</t>
  </si>
  <si>
    <t>03:58:02.78</t>
  </si>
  <si>
    <t>ORSUCCI</t>
  </si>
  <si>
    <t>03:58:02.80</t>
  </si>
  <si>
    <t>CHOCOL</t>
  </si>
  <si>
    <t>03:58:02.90</t>
  </si>
  <si>
    <t>BURROW</t>
  </si>
  <si>
    <t>JAMIE</t>
  </si>
  <si>
    <t>03:58:03.20</t>
  </si>
  <si>
    <t>GHISALBERTI</t>
  </si>
  <si>
    <t>03:58:03.30</t>
  </si>
  <si>
    <t>CORSELLO</t>
  </si>
  <si>
    <t>03:58:06.00</t>
  </si>
  <si>
    <t>FALZARANO</t>
  </si>
  <si>
    <t>ALFONSO</t>
  </si>
  <si>
    <t>03:59:51.40</t>
  </si>
  <si>
    <t>KIVISHEV</t>
  </si>
  <si>
    <t>EDUARD</t>
  </si>
  <si>
    <t>04:04:15.80</t>
  </si>
  <si>
    <t>CHABURKA</t>
  </si>
  <si>
    <t>ANATOLI</t>
  </si>
  <si>
    <t>04:04:16.30</t>
  </si>
  <si>
    <t>BARBETTA</t>
  </si>
  <si>
    <t>04:06:13.60</t>
  </si>
  <si>
    <t>GIACOMAZZI</t>
  </si>
  <si>
    <t>04:06:14.00</t>
  </si>
  <si>
    <t>FANELLI</t>
  </si>
  <si>
    <t>04:06:14.40</t>
  </si>
  <si>
    <t>GHISELLI</t>
  </si>
  <si>
    <t>TEAM SINTESI MGK VIS</t>
  </si>
  <si>
    <t>04:10:49.30</t>
  </si>
  <si>
    <t>CARDELLINI</t>
  </si>
  <si>
    <t>04:10:49.40</t>
  </si>
  <si>
    <t>04:10:49.50</t>
  </si>
  <si>
    <t>PATUELLI</t>
  </si>
  <si>
    <t>LORENZON</t>
  </si>
  <si>
    <t>CRM RACING</t>
  </si>
  <si>
    <t>04:11:55.40</t>
  </si>
  <si>
    <t>FALASCONI</t>
  </si>
  <si>
    <t>04:13:02.50</t>
  </si>
  <si>
    <t>CARNIELLO</t>
  </si>
  <si>
    <t>DENES</t>
  </si>
  <si>
    <t>04:13:16.30</t>
  </si>
  <si>
    <t>DEGASPERI</t>
  </si>
  <si>
    <t>04:13:34.30</t>
  </si>
  <si>
    <t>04:13:49.00</t>
  </si>
  <si>
    <t>GC PADERNESE - ARCHETTI PITTORI</t>
  </si>
  <si>
    <t>04:14:09.60</t>
  </si>
  <si>
    <t>PAZZINI</t>
  </si>
  <si>
    <t>SAN MARINO MTB TEAM</t>
  </si>
  <si>
    <t>04:14:10.30</t>
  </si>
  <si>
    <t>FERRICELLI</t>
  </si>
  <si>
    <t>04:14:11.20</t>
  </si>
  <si>
    <t>04:14:12.30</t>
  </si>
  <si>
    <t>04:14:16.00</t>
  </si>
  <si>
    <t>04:14:22.50</t>
  </si>
  <si>
    <t>SALLADINI</t>
  </si>
  <si>
    <t>MARFISH</t>
  </si>
  <si>
    <t>04:14:23.20</t>
  </si>
  <si>
    <t>NEGRINI</t>
  </si>
  <si>
    <t>04:14:25.30</t>
  </si>
  <si>
    <t>TIBALDO</t>
  </si>
  <si>
    <t>04:14:29.50</t>
  </si>
  <si>
    <t>SHAW</t>
  </si>
  <si>
    <t>MARTIN</t>
  </si>
  <si>
    <t>KULMINE WAC</t>
  </si>
  <si>
    <t>04:14:32.20</t>
  </si>
  <si>
    <t>04:14:33.70</t>
  </si>
  <si>
    <t>04:14:35.30</t>
  </si>
  <si>
    <t>LOBELLO</t>
  </si>
  <si>
    <t>04:14:40.30</t>
  </si>
  <si>
    <t>MARCONI</t>
  </si>
  <si>
    <t>SS GROSSETO</t>
  </si>
  <si>
    <t>04:14:46.00</t>
  </si>
  <si>
    <t>QUAINI</t>
  </si>
  <si>
    <t>04:14:48.30</t>
  </si>
  <si>
    <t>SCOLASTICO</t>
  </si>
  <si>
    <t>04:15:39.30</t>
  </si>
  <si>
    <t>LELLI</t>
  </si>
  <si>
    <t>04:16:21.90</t>
  </si>
  <si>
    <t>04:16:22.20</t>
  </si>
  <si>
    <t>GUIZZARO</t>
  </si>
  <si>
    <t>04:16:22.40</t>
  </si>
  <si>
    <t>IMMOPROGRAMM - CICLI</t>
  </si>
  <si>
    <t>04:16:23.00</t>
  </si>
  <si>
    <t>CAVALIERE</t>
  </si>
  <si>
    <t>DI MATTEO</t>
  </si>
  <si>
    <t>04:16:23.10</t>
  </si>
  <si>
    <t>04:16:23.20</t>
  </si>
  <si>
    <t>SEGATA</t>
  </si>
  <si>
    <t>04:16:23.30</t>
  </si>
  <si>
    <t>BONATO</t>
  </si>
  <si>
    <t>04:16:23.36</t>
  </si>
  <si>
    <t>04:16:23.45</t>
  </si>
  <si>
    <t>04:16:23.70</t>
  </si>
  <si>
    <t>ROSSO</t>
  </si>
  <si>
    <t>04:16:24.10</t>
  </si>
  <si>
    <t>PESCIAROLI</t>
  </si>
  <si>
    <t>04:16:24.20</t>
  </si>
  <si>
    <t>BORSARI</t>
  </si>
  <si>
    <t>04:16:24.30</t>
  </si>
  <si>
    <t>04:16:24.50</t>
  </si>
  <si>
    <t>04:16:24.60</t>
  </si>
  <si>
    <t>MORRONE</t>
  </si>
  <si>
    <t>04:16:25.10</t>
  </si>
  <si>
    <t>AZZOLA</t>
  </si>
  <si>
    <t>04:16:25.20</t>
  </si>
  <si>
    <t>PIERANGELI</t>
  </si>
  <si>
    <t>04:16:27.90</t>
  </si>
  <si>
    <t>LANCIONI</t>
  </si>
  <si>
    <t>04:16:28.10</t>
  </si>
  <si>
    <t>BATTISTELLI</t>
  </si>
  <si>
    <t>04:16:28.50</t>
  </si>
  <si>
    <t>ASD RENOFIN GT COMIS</t>
  </si>
  <si>
    <t>04:16:29.10</t>
  </si>
  <si>
    <t>DE CARLI</t>
  </si>
  <si>
    <t>ASD DTEAM ESSERE 2</t>
  </si>
  <si>
    <t>04:16:29.30</t>
  </si>
  <si>
    <t>TACCINI</t>
  </si>
  <si>
    <t>04:16:30.10</t>
  </si>
  <si>
    <t>DAZZANI</t>
  </si>
  <si>
    <t>04:16:30.20</t>
  </si>
  <si>
    <t>AS TEAM - FORLI'</t>
  </si>
  <si>
    <t>04:16:31.60</t>
  </si>
  <si>
    <t>04:16:31.70</t>
  </si>
  <si>
    <t>CABERLOTTO</t>
  </si>
  <si>
    <t>04:16:31.80</t>
  </si>
  <si>
    <t>MONTANI</t>
  </si>
  <si>
    <t>GS CBR CICLI VICINI</t>
  </si>
  <si>
    <t>04:16:32.00</t>
  </si>
  <si>
    <t>04:16:32.60</t>
  </si>
  <si>
    <t>ZAMBENEDETTI</t>
  </si>
  <si>
    <t>04:16:32.80</t>
  </si>
  <si>
    <t>04:16:33.00</t>
  </si>
  <si>
    <t>RAGAZZINI</t>
  </si>
  <si>
    <t>04:16:33.80</t>
  </si>
  <si>
    <t>COCCIA</t>
  </si>
  <si>
    <t>04:16:34.10</t>
  </si>
  <si>
    <t>04:16:34.50</t>
  </si>
  <si>
    <t>SILUMBRA</t>
  </si>
  <si>
    <t>04:16:36.50</t>
  </si>
  <si>
    <t>BRICCOLANI</t>
  </si>
  <si>
    <t>04:16:38.60</t>
  </si>
  <si>
    <t>CARPENTIERI</t>
  </si>
  <si>
    <t>CICLING TEAM COLLEFERRO</t>
  </si>
  <si>
    <t>04:17:14.20</t>
  </si>
  <si>
    <t>FENATI</t>
  </si>
  <si>
    <t>NELSON</t>
  </si>
  <si>
    <t>04:17:19.10</t>
  </si>
  <si>
    <t>FRIGO</t>
  </si>
  <si>
    <t>04:17:26.60</t>
  </si>
  <si>
    <t>LAURETI</t>
  </si>
  <si>
    <t>04:18:36.19</t>
  </si>
  <si>
    <t>STECCA</t>
  </si>
  <si>
    <t>GS CICLI MORBIATO RACING BIKE</t>
  </si>
  <si>
    <t>04:19:01.01</t>
  </si>
  <si>
    <t>PERERA</t>
  </si>
  <si>
    <t>04:21:18.90</t>
  </si>
  <si>
    <t>HOLT</t>
  </si>
  <si>
    <t>SIMON</t>
  </si>
  <si>
    <t>GREAT BRITAIN</t>
  </si>
  <si>
    <t>04:21:51.40</t>
  </si>
  <si>
    <t>ENEA</t>
  </si>
  <si>
    <t>04:22:01.20</t>
  </si>
  <si>
    <t>FACIBENI</t>
  </si>
  <si>
    <t>TEAM OUTSIDERS</t>
  </si>
  <si>
    <t>04:22:11.40</t>
  </si>
  <si>
    <t>PERLI</t>
  </si>
  <si>
    <t>POL S.GIORGIO UGO BIKE</t>
  </si>
  <si>
    <t>04:22:15.30</t>
  </si>
  <si>
    <t>GHETTI</t>
  </si>
  <si>
    <t>WILMER</t>
  </si>
  <si>
    <t>04:22:20.10</t>
  </si>
  <si>
    <t>POIER</t>
  </si>
  <si>
    <t>04:22:29.10</t>
  </si>
  <si>
    <t>BUCONI</t>
  </si>
  <si>
    <t>04:22:33.10</t>
  </si>
  <si>
    <t>ZAZZI</t>
  </si>
  <si>
    <t>04:23:01.50</t>
  </si>
  <si>
    <t>CUEL</t>
  </si>
  <si>
    <t>04:23:14.10</t>
  </si>
  <si>
    <t>BERGNER BRAU</t>
  </si>
  <si>
    <t>04:23:15.40</t>
  </si>
  <si>
    <t>BONFIGLIO</t>
  </si>
  <si>
    <t>SC CICLI LORENZO BRIANZA 2000</t>
  </si>
  <si>
    <t>04:23:22.30</t>
  </si>
  <si>
    <t>RANCAN</t>
  </si>
  <si>
    <t>04:23:32.40</t>
  </si>
  <si>
    <t>BRANDOLINI</t>
  </si>
  <si>
    <t>04:23:36.60</t>
  </si>
  <si>
    <t>VELOCI</t>
  </si>
  <si>
    <t>CICLI MAGGI FRW  ANIMA</t>
  </si>
  <si>
    <t>04:23:38.70</t>
  </si>
  <si>
    <t>SANTARELLI</t>
  </si>
  <si>
    <t>04:23:39.30</t>
  </si>
  <si>
    <t>VALSECCHI</t>
  </si>
  <si>
    <t>04:23:43.20</t>
  </si>
  <si>
    <t>BURIOLI</t>
  </si>
  <si>
    <t>Posizione</t>
  </si>
  <si>
    <t>Cognome</t>
  </si>
  <si>
    <t>Nome</t>
  </si>
  <si>
    <t>Sesso</t>
  </si>
  <si>
    <t>Categoria</t>
  </si>
  <si>
    <t>Posizione Categoria</t>
  </si>
  <si>
    <t>Team</t>
  </si>
  <si>
    <t>Tempo</t>
  </si>
  <si>
    <t>Km/h</t>
  </si>
  <si>
    <t>SACCOMANNI</t>
  </si>
  <si>
    <t>ENRICO</t>
  </si>
  <si>
    <t>M</t>
  </si>
  <si>
    <t>SEN</t>
  </si>
  <si>
    <t>MANILA BIKE SCOTT</t>
  </si>
  <si>
    <t>02:45:41.00</t>
  </si>
  <si>
    <t>BUCCI</t>
  </si>
  <si>
    <t>EMANUELE</t>
  </si>
  <si>
    <t>CAD</t>
  </si>
  <si>
    <t>SS FRECCE ROSSE</t>
  </si>
  <si>
    <t>02:47:05.00</t>
  </si>
  <si>
    <t>LAZZARI</t>
  </si>
  <si>
    <t>SILVER</t>
  </si>
  <si>
    <t>ASD TEAM PLANET BIKE</t>
  </si>
  <si>
    <t>02:47:21.40</t>
  </si>
  <si>
    <t>CONVENTO</t>
  </si>
  <si>
    <t>MATTIA</t>
  </si>
  <si>
    <t>VIGONZA BARBARIGA</t>
  </si>
  <si>
    <t>02:47:25.30</t>
  </si>
  <si>
    <t>MORO</t>
  </si>
  <si>
    <t>GIAMPAOLO</t>
  </si>
  <si>
    <t>JUN</t>
  </si>
  <si>
    <t>ASD VELO CLUB DUE TORRI</t>
  </si>
  <si>
    <t>02:47:43.60</t>
  </si>
  <si>
    <t>BALDONI</t>
  </si>
  <si>
    <t>AUGUSTO</t>
  </si>
  <si>
    <t>VITAMINA TEAM</t>
  </si>
  <si>
    <t>02:47:44.60</t>
  </si>
  <si>
    <t>NENCINI</t>
  </si>
  <si>
    <t>ANDREA</t>
  </si>
  <si>
    <t>02:49:28.34</t>
  </si>
  <si>
    <t>REBESCO</t>
  </si>
  <si>
    <t>MATTEO</t>
  </si>
  <si>
    <t>ASD FIORDIFRUTTA</t>
  </si>
  <si>
    <t>02:49:28.70</t>
  </si>
  <si>
    <t>ANELLI</t>
  </si>
  <si>
    <t>LUCA</t>
  </si>
  <si>
    <t>02:49:28.90</t>
  </si>
  <si>
    <t>CECCARONI</t>
  </si>
  <si>
    <t>MARIO</t>
  </si>
  <si>
    <t>GEN</t>
  </si>
  <si>
    <t>ASD IL PEDALE SANTARCANGIOLESE</t>
  </si>
  <si>
    <t>02:49:29.00</t>
  </si>
  <si>
    <t>FALCONI</t>
  </si>
  <si>
    <t>ORAZIO</t>
  </si>
  <si>
    <t>VET</t>
  </si>
  <si>
    <t>02:49:29.30</t>
  </si>
  <si>
    <t>SALANI</t>
  </si>
  <si>
    <t>RICCARDO</t>
  </si>
  <si>
    <t>MANILA BIKE</t>
  </si>
  <si>
    <t>02:49:29.50</t>
  </si>
  <si>
    <t>IACOMELLI</t>
  </si>
  <si>
    <t>MAURO</t>
  </si>
  <si>
    <t>TEAM MIRCKX TUTTOSPORT</t>
  </si>
  <si>
    <t>02:49:29.60</t>
  </si>
  <si>
    <t>NESTI</t>
  </si>
  <si>
    <t>02:49:29.80</t>
  </si>
  <si>
    <t>SPADA</t>
  </si>
  <si>
    <t>MARCO</t>
  </si>
  <si>
    <t>ASD GC MOBILI GINESTRI</t>
  </si>
  <si>
    <t>02:49:30.10</t>
  </si>
  <si>
    <t>ROMEO</t>
  </si>
  <si>
    <t>MAURIZIO</t>
  </si>
  <si>
    <t>TRIATHLON TEAM TRAPANI</t>
  </si>
  <si>
    <t>02:49:31.10</t>
  </si>
  <si>
    <t>BIANCHI</t>
  </si>
  <si>
    <t>ASD OPEN TEAM</t>
  </si>
  <si>
    <t>02:49:37.00</t>
  </si>
  <si>
    <t>PAULETTO</t>
  </si>
  <si>
    <t>GC ZEROTINO ALIPLAST</t>
  </si>
  <si>
    <t>02:49:38.90</t>
  </si>
  <si>
    <t>DE BASTIANI</t>
  </si>
  <si>
    <t>ALEX</t>
  </si>
  <si>
    <t>TEAM MICTU SANVIDO</t>
  </si>
  <si>
    <t>02:49:39.20</t>
  </si>
  <si>
    <t>VERRI</t>
  </si>
  <si>
    <t>GS SURFING SHOP SPORT PROMOTION</t>
  </si>
  <si>
    <t>02:49:39.30</t>
  </si>
  <si>
    <t>MANCINI</t>
  </si>
  <si>
    <t>PAOLO</t>
  </si>
  <si>
    <t>ASD MARY CONFEZIONI</t>
  </si>
  <si>
    <t>02:49:39.40</t>
  </si>
  <si>
    <t>TURA</t>
  </si>
  <si>
    <t>STEFANO</t>
  </si>
  <si>
    <t>TEAM SCAPIN</t>
  </si>
  <si>
    <t>02:49:39.50</t>
  </si>
  <si>
    <t>VISANI</t>
  </si>
  <si>
    <t>ROBERTO</t>
  </si>
  <si>
    <t>02:49:39.60</t>
  </si>
  <si>
    <t>VALENTINI</t>
  </si>
  <si>
    <t>DANIELE</t>
  </si>
  <si>
    <t>TEAM MAGGI FRW</t>
  </si>
  <si>
    <t>02:49:39.90</t>
  </si>
  <si>
    <t>VOLPE</t>
  </si>
  <si>
    <t>02:49:40.30</t>
  </si>
  <si>
    <t>BALDAN</t>
  </si>
  <si>
    <t>02:49:40.60</t>
  </si>
  <si>
    <t>MONTALTI</t>
  </si>
  <si>
    <t>SILVIO</t>
  </si>
  <si>
    <t>GC MARTORANO 95</t>
  </si>
  <si>
    <t>02:49:41.20</t>
  </si>
  <si>
    <t>GIOVANNINI</t>
  </si>
  <si>
    <t>LELLI BIKE</t>
  </si>
  <si>
    <t>02:49:41.30</t>
  </si>
  <si>
    <t>ALPINI</t>
  </si>
  <si>
    <t>AS LA TORRE TEAM BIKE</t>
  </si>
  <si>
    <t>02:49:41.50</t>
  </si>
  <si>
    <t>PAIANO</t>
  </si>
  <si>
    <t>CHRISTIAN</t>
  </si>
  <si>
    <t>02:49:41.60</t>
  </si>
  <si>
    <t>BRILLI</t>
  </si>
  <si>
    <t>GS CICLI MATTEONI FRW</t>
  </si>
  <si>
    <t>02:51:50.70</t>
  </si>
  <si>
    <t>ROCCHI</t>
  </si>
  <si>
    <t>ASD GC BORELLO</t>
  </si>
  <si>
    <t>02:51:59.30</t>
  </si>
  <si>
    <t>BOSCHETTI</t>
  </si>
  <si>
    <t>ALESSANDRO</t>
  </si>
  <si>
    <t>SURFING SHOP SP</t>
  </si>
  <si>
    <t>02:52:02.10</t>
  </si>
  <si>
    <t>STOCCO</t>
  </si>
  <si>
    <t>UC VALLA'</t>
  </si>
  <si>
    <t>02:52:09.10</t>
  </si>
  <si>
    <t>DE NARD</t>
  </si>
  <si>
    <t>WALTER</t>
  </si>
  <si>
    <t>CYCLING TEAM BELLUNO</t>
  </si>
  <si>
    <t>02:52:16.90</t>
  </si>
  <si>
    <t>ADDESI</t>
  </si>
  <si>
    <t>PIERPAOLO</t>
  </si>
  <si>
    <t>ASD BLU DI MARE IMPERIA</t>
  </si>
  <si>
    <t>02:52:58.70</t>
  </si>
  <si>
    <t>SCORTICHINI</t>
  </si>
  <si>
    <t>GABRIEL</t>
  </si>
  <si>
    <t>GRUPPO PARALIMPICO</t>
  </si>
  <si>
    <t>02:52:59.00</t>
  </si>
  <si>
    <t>BORGATO</t>
  </si>
  <si>
    <t>ALESSIO</t>
  </si>
  <si>
    <t>MORINI</t>
  </si>
  <si>
    <t>FEDERICO</t>
  </si>
  <si>
    <t>TEAM BELVEDERE RICCIONE</t>
  </si>
  <si>
    <t>02:53:23.20</t>
  </si>
  <si>
    <t>ENDRIZZI</t>
  </si>
  <si>
    <t>BREN TEAM TRENTO</t>
  </si>
  <si>
    <t>02:53:41.60</t>
  </si>
  <si>
    <t>MORDENTI</t>
  </si>
  <si>
    <t>NC</t>
  </si>
  <si>
    <t>ASD GS CERAMICHE PAGNONCELLI</t>
  </si>
  <si>
    <t>02:53:41.90</t>
  </si>
  <si>
    <t>ZAMBONI</t>
  </si>
  <si>
    <t>02:53:45.50</t>
  </si>
  <si>
    <t>MORGANTI</t>
  </si>
  <si>
    <t>02:54:12.80</t>
  </si>
  <si>
    <t>GAMBERINI</t>
  </si>
  <si>
    <t>GABRIELE</t>
  </si>
  <si>
    <t>S.C VELOCIRAPTOR</t>
  </si>
  <si>
    <t>02:54:15.80</t>
  </si>
  <si>
    <t>SOPRANZETTI</t>
  </si>
  <si>
    <t>ERNESTO</t>
  </si>
  <si>
    <t>TEAM BIKE SHOP JESI</t>
  </si>
  <si>
    <t>02:54:21.00</t>
  </si>
  <si>
    <t>MARGHERITI</t>
  </si>
  <si>
    <t>LUCIO</t>
  </si>
  <si>
    <t>02:54:21.30</t>
  </si>
  <si>
    <t>MANSERVIGI</t>
  </si>
  <si>
    <t>GIUSEPPE</t>
  </si>
  <si>
    <t>FAENZA TEAM</t>
  </si>
  <si>
    <t>02:54:21.70</t>
  </si>
  <si>
    <t>RIGHETTO</t>
  </si>
  <si>
    <t>JONATHAN</t>
  </si>
  <si>
    <t>LR/EL</t>
  </si>
  <si>
    <t>SC IPERLANDO</t>
  </si>
  <si>
    <t>02:54:23.30</t>
  </si>
  <si>
    <t>VIANELLI</t>
  </si>
  <si>
    <t>FILIPPO</t>
  </si>
  <si>
    <t>02:54:24.60</t>
  </si>
  <si>
    <t>MAZZONI</t>
  </si>
  <si>
    <t>02:54:24.63</t>
  </si>
  <si>
    <t>SENESI</t>
  </si>
  <si>
    <t>SANDRO</t>
  </si>
  <si>
    <t>02:54:24.80</t>
  </si>
  <si>
    <t>CHECCHIN</t>
  </si>
  <si>
    <t>02:54:24.90</t>
  </si>
  <si>
    <t>CAVALLARI</t>
  </si>
  <si>
    <t>PATRIZIO</t>
  </si>
  <si>
    <t>RASTELLI</t>
  </si>
  <si>
    <t>FABIO</t>
  </si>
  <si>
    <t>02:54:25.23</t>
  </si>
  <si>
    <t>BOSI</t>
  </si>
  <si>
    <t>MASSIMO</t>
  </si>
  <si>
    <t>02:54:25.25</t>
  </si>
  <si>
    <t>GASPERONI</t>
  </si>
  <si>
    <t>GS DOGANA</t>
  </si>
  <si>
    <t>02:54:25.30</t>
  </si>
  <si>
    <t>STROLLO</t>
  </si>
  <si>
    <t>GENNARO</t>
  </si>
  <si>
    <t>SG</t>
  </si>
  <si>
    <t>GS ARS ET ROBUR VICINI</t>
  </si>
  <si>
    <t>02:54:25.60</t>
  </si>
  <si>
    <t>MASCELLA</t>
  </si>
  <si>
    <t>02:54:25.65</t>
  </si>
  <si>
    <t>SANTI</t>
  </si>
  <si>
    <t>02:54:25.90</t>
  </si>
  <si>
    <t>SCHIAVINA</t>
  </si>
  <si>
    <t>SAMUELE</t>
  </si>
  <si>
    <t>RENOFIN SINTESI CASTELLI NWR</t>
  </si>
  <si>
    <t>02:54:27.40</t>
  </si>
  <si>
    <t>PARESCHI</t>
  </si>
  <si>
    <t>02:54:28.00</t>
  </si>
  <si>
    <t>BARBIERI</t>
  </si>
  <si>
    <t>02:54:29.30</t>
  </si>
  <si>
    <t>TAMBURINI</t>
  </si>
  <si>
    <t>02:54:30.50</t>
  </si>
  <si>
    <t>CASSOL</t>
  </si>
  <si>
    <t>NICOLA</t>
  </si>
  <si>
    <t>02:54:31.10</t>
  </si>
  <si>
    <t>GIRALDI</t>
  </si>
  <si>
    <t>UC PEDALE FELTRINO</t>
  </si>
  <si>
    <t>02:54:38.20</t>
  </si>
  <si>
    <t>RIGHI</t>
  </si>
  <si>
    <t>RODOLFO</t>
  </si>
  <si>
    <t>PLAUTO BIKE</t>
  </si>
  <si>
    <t>02:55:04.80</t>
  </si>
  <si>
    <t>BROCCOLI</t>
  </si>
  <si>
    <t>02:55:14.30</t>
  </si>
  <si>
    <t>SMITH</t>
  </si>
  <si>
    <t>STEVE</t>
  </si>
  <si>
    <t>02:55:33.00</t>
  </si>
  <si>
    <t>SESTI</t>
  </si>
  <si>
    <t>02:56:10.30</t>
  </si>
  <si>
    <t>BRUNELLI</t>
  </si>
  <si>
    <t>GIANLUCA</t>
  </si>
  <si>
    <t>BONZAGNI</t>
  </si>
  <si>
    <t>DEVIS</t>
  </si>
  <si>
    <t>GIANLUCA FAENZA TEAM</t>
  </si>
  <si>
    <t>02:56:10.35</t>
  </si>
  <si>
    <t>DE LORENZI</t>
  </si>
  <si>
    <t>ASD OSTERIA</t>
  </si>
  <si>
    <t>02:56:10.70</t>
  </si>
  <si>
    <t>BAGNOLI</t>
  </si>
  <si>
    <t>MASSIMILIANO</t>
  </si>
  <si>
    <t>ASD SPEED BIKE</t>
  </si>
  <si>
    <t>02:56:11.10</t>
  </si>
  <si>
    <t>GALLUZZI</t>
  </si>
  <si>
    <t>RUDY</t>
  </si>
  <si>
    <t>ASD EURO BIKE</t>
  </si>
  <si>
    <t>02:56:11.80</t>
  </si>
  <si>
    <t>RENZI</t>
  </si>
  <si>
    <t>DEVID</t>
  </si>
  <si>
    <t>02:56:12.40</t>
  </si>
  <si>
    <t>VELO CLUB RICCIONE</t>
  </si>
  <si>
    <t>02:56:15.40</t>
  </si>
  <si>
    <t>GENTILI</t>
  </si>
  <si>
    <t>CLAUDIA</t>
  </si>
  <si>
    <t>F</t>
  </si>
  <si>
    <t>DA</t>
  </si>
  <si>
    <t>TEAM BIKE PRATO</t>
  </si>
  <si>
    <t>02:56:17.50</t>
  </si>
  <si>
    <t>CINNI</t>
  </si>
  <si>
    <t>02:56:18.70</t>
  </si>
  <si>
    <t>BORGHI</t>
  </si>
  <si>
    <t>ATTILIO</t>
  </si>
  <si>
    <t>ASD CASTELLO BIKE</t>
  </si>
  <si>
    <t>02:56:56.00</t>
  </si>
  <si>
    <t>IANNELLI</t>
  </si>
  <si>
    <t>ASD FLAVIO CARNOSA</t>
  </si>
  <si>
    <t>02:56:59.50</t>
  </si>
  <si>
    <t>CRINELLA</t>
  </si>
  <si>
    <t>LORIS</t>
  </si>
  <si>
    <t>TEAM CBR CICLI VICINI</t>
  </si>
  <si>
    <t>02:57:09.00</t>
  </si>
  <si>
    <t>SANTELLO</t>
  </si>
  <si>
    <t>SC STRA ALPE</t>
  </si>
  <si>
    <t>02:57:13.20</t>
  </si>
  <si>
    <t>DEL FABBRO</t>
  </si>
  <si>
    <t>SOC.CICL.  BELLUNESI</t>
  </si>
  <si>
    <t>02:57:14.30</t>
  </si>
  <si>
    <t>ORLANDI</t>
  </si>
  <si>
    <t>02:57:19.70</t>
  </si>
  <si>
    <t>TOMASSINI</t>
  </si>
  <si>
    <t>GIOVANNI</t>
  </si>
  <si>
    <t>GS CASTELTROSINO SUPERBIKE</t>
  </si>
  <si>
    <t>02:57:30.70</t>
  </si>
  <si>
    <t>TEAM IACCOBIKE</t>
  </si>
  <si>
    <t>02:57:52.20</t>
  </si>
  <si>
    <t>BARTOLINI</t>
  </si>
  <si>
    <t>BENEDETTO</t>
  </si>
  <si>
    <t>02:57:52.50</t>
  </si>
  <si>
    <t>BERTOZZI</t>
  </si>
  <si>
    <t>MANUEL</t>
  </si>
  <si>
    <t>ASD ECOLOGY TEAM</t>
  </si>
  <si>
    <t>02:57:52.90</t>
  </si>
  <si>
    <t>ZAGO</t>
  </si>
  <si>
    <t>EMPORIOSPORT TEAM 2</t>
  </si>
  <si>
    <t>02:57:58.40</t>
  </si>
  <si>
    <t>FRANCALANCI</t>
  </si>
  <si>
    <t>02:58:24.10</t>
  </si>
  <si>
    <t>DI MAMBRO</t>
  </si>
  <si>
    <t>DRAKE SYSTEM CISTERNA</t>
  </si>
  <si>
    <t>02:58:33.10</t>
  </si>
  <si>
    <t>CORREIA</t>
  </si>
  <si>
    <t>JOAO</t>
  </si>
  <si>
    <t>BISSELL PRO CYCLING TEAM</t>
  </si>
  <si>
    <t>02:59:24.10</t>
  </si>
  <si>
    <t>COLLALTO</t>
  </si>
  <si>
    <t>GS CAPRARA</t>
  </si>
  <si>
    <t>02:59:24.60</t>
  </si>
  <si>
    <t>POCCIANTI</t>
  </si>
  <si>
    <t>02:59:26.30</t>
  </si>
  <si>
    <t>BARTOLI</t>
  </si>
  <si>
    <t>LUIGI</t>
  </si>
  <si>
    <t>GSC CASENTINESE</t>
  </si>
  <si>
    <t>02:59:43.80</t>
  </si>
  <si>
    <t>GUIDI</t>
  </si>
  <si>
    <t>NEVIO</t>
  </si>
  <si>
    <t>GS FALCON'S TEAM RIMINI NORD</t>
  </si>
  <si>
    <t>02:59:47.90</t>
  </si>
  <si>
    <t>FUSARI</t>
  </si>
  <si>
    <t>UC BARACCA LUGO</t>
  </si>
  <si>
    <t>02:59:48.20</t>
  </si>
  <si>
    <t>DI GUILMI</t>
  </si>
  <si>
    <t>DARIO</t>
  </si>
  <si>
    <t>CICLISTICA MERCATESE</t>
  </si>
  <si>
    <t>02:59:48.60</t>
  </si>
  <si>
    <t>TOSON</t>
  </si>
  <si>
    <t>LEONARDO</t>
  </si>
  <si>
    <t>SC MOBILI TOSON</t>
  </si>
  <si>
    <t>02:59:48.80</t>
  </si>
  <si>
    <t>FABBRI</t>
  </si>
  <si>
    <t>02:59:49.10</t>
  </si>
  <si>
    <t>PISCIOTTA</t>
  </si>
  <si>
    <t>VINCENZO</t>
  </si>
  <si>
    <t>02:59:49.30</t>
  </si>
  <si>
    <t>CALABRESI</t>
  </si>
  <si>
    <t>AMICI MILANESI</t>
  </si>
  <si>
    <t>02:59:49.50</t>
  </si>
  <si>
    <t>GARAFFONI</t>
  </si>
  <si>
    <t>FRANCESCO</t>
  </si>
  <si>
    <t>FANTON</t>
  </si>
  <si>
    <t>CRISTIANO</t>
  </si>
  <si>
    <t>TEAM LIGHT ABBRONZATURA</t>
  </si>
  <si>
    <t>GIANBATTISTA</t>
  </si>
  <si>
    <t>02:59:49.90</t>
  </si>
  <si>
    <t>AGOSTINI</t>
  </si>
  <si>
    <t>02:59:50.70</t>
  </si>
  <si>
    <t>DRUDI</t>
  </si>
  <si>
    <t>MARCELLO</t>
  </si>
  <si>
    <t>GS FALCONS TEAM RIMINI NORD</t>
  </si>
  <si>
    <t>02:59:51.40</t>
  </si>
  <si>
    <t>VANELLI</t>
  </si>
  <si>
    <t>CICLISTI CESANESI</t>
  </si>
  <si>
    <t>02:59:52.50</t>
  </si>
  <si>
    <t>CERAGIOLI</t>
  </si>
  <si>
    <t>SCOTT FAST</t>
  </si>
  <si>
    <t>02:59:53.20</t>
  </si>
  <si>
    <t>MERLONI</t>
  </si>
  <si>
    <t>MELISSA</t>
  </si>
  <si>
    <t>GARMIN SALIERI</t>
  </si>
  <si>
    <t>02:59:57.00</t>
  </si>
  <si>
    <t>VANNUCCI</t>
  </si>
  <si>
    <t>02:59:57.50</t>
  </si>
  <si>
    <t>BIAGETTI</t>
  </si>
  <si>
    <t>02:59:58.00</t>
  </si>
  <si>
    <t>GRASSIA</t>
  </si>
  <si>
    <t>DAVIDE</t>
  </si>
  <si>
    <t>03:00:03.50</t>
  </si>
  <si>
    <t>MESSINA</t>
  </si>
  <si>
    <t>ASD POOL-SPORT TRIESTE</t>
  </si>
  <si>
    <t>03:00:06.50</t>
  </si>
  <si>
    <t>SCARPELLINI</t>
  </si>
  <si>
    <t>TIZIANO</t>
  </si>
  <si>
    <t>G.C AIR SANTARCANGELO</t>
  </si>
  <si>
    <t>03:00:06.90</t>
  </si>
  <si>
    <t>DECATALDO</t>
  </si>
  <si>
    <t>GIACINTO</t>
  </si>
  <si>
    <t>GS CICLI PETTA SPORT OSTIA LIDO</t>
  </si>
  <si>
    <t>03:00:10.50</t>
  </si>
  <si>
    <t>ORNOFOLI</t>
  </si>
  <si>
    <t>03:00:13.40</t>
  </si>
  <si>
    <t>SARTI</t>
  </si>
  <si>
    <t>03:00:14.30</t>
  </si>
  <si>
    <t>GC BICI CASTEL DEL RIO</t>
  </si>
  <si>
    <t>03:00:17.40</t>
  </si>
  <si>
    <t>BULGARELLI</t>
  </si>
  <si>
    <t>ALFIO</t>
  </si>
  <si>
    <t>03:00:20.20</t>
  </si>
  <si>
    <t>DIONISI</t>
  </si>
  <si>
    <t>FABRIZIO</t>
  </si>
  <si>
    <t>PRO BIKE RIDING TEAM</t>
  </si>
  <si>
    <t>03:00:20.50</t>
  </si>
  <si>
    <t>FANI</t>
  </si>
  <si>
    <t>GS AVIS PRATOVECCHIO</t>
  </si>
  <si>
    <t>03:00:22.30</t>
  </si>
  <si>
    <t>SAPONARO</t>
  </si>
  <si>
    <t>ROBIN</t>
  </si>
  <si>
    <t>03:00:25.10</t>
  </si>
  <si>
    <t>BEONI</t>
  </si>
  <si>
    <t>SIMONE</t>
  </si>
  <si>
    <t>FACCIANI</t>
  </si>
  <si>
    <t>POL.SIDERMEC</t>
  </si>
  <si>
    <t>03:00:26.30</t>
  </si>
  <si>
    <t>GIARDI</t>
  </si>
  <si>
    <t>03:00:27.40</t>
  </si>
  <si>
    <t>MORANDINI</t>
  </si>
  <si>
    <t>WORLD TRUCK</t>
  </si>
  <si>
    <t>03:00:28.10</t>
  </si>
  <si>
    <t>NATALI</t>
  </si>
  <si>
    <t>03:00:28.60</t>
  </si>
  <si>
    <t>03:00:29.60</t>
  </si>
  <si>
    <t>RABINELLI</t>
  </si>
  <si>
    <t>VELO CLUB CINGOLANI</t>
  </si>
  <si>
    <t>03:00:31.50</t>
  </si>
  <si>
    <t>GUERRINI</t>
  </si>
  <si>
    <t>03:00:38.50</t>
  </si>
  <si>
    <t>RICCI</t>
  </si>
  <si>
    <t>RAFFAELE</t>
  </si>
  <si>
    <t>GREGORI</t>
  </si>
  <si>
    <t>03:00:41.10</t>
  </si>
  <si>
    <t>GOLINELLI</t>
  </si>
  <si>
    <t>03:00:42.10</t>
  </si>
  <si>
    <t>LUCONI</t>
  </si>
  <si>
    <t>CICLI COPPARO</t>
  </si>
  <si>
    <t>03:00:43.40</t>
  </si>
  <si>
    <t>OTTOBONI</t>
  </si>
  <si>
    <t>CRISTIAN</t>
  </si>
  <si>
    <t>LES AMIS</t>
  </si>
  <si>
    <t>03:00:44.10</t>
  </si>
  <si>
    <t>BANDINI</t>
  </si>
  <si>
    <t>PIERLUIGI</t>
  </si>
  <si>
    <t>PEDALE BIANCONERO</t>
  </si>
  <si>
    <t>03:00:49.00</t>
  </si>
  <si>
    <t>BRUNELLO</t>
  </si>
  <si>
    <t>CT</t>
  </si>
  <si>
    <t>U.C.CUSINATI</t>
  </si>
  <si>
    <t>03:00:49.10</t>
  </si>
  <si>
    <t>MAZZOTTI</t>
  </si>
  <si>
    <t>MIRCO</t>
  </si>
  <si>
    <t>ASD POL.GLORIE</t>
  </si>
  <si>
    <t>03:00:50.00</t>
  </si>
  <si>
    <t>VENTURELLI</t>
  </si>
  <si>
    <t>CICLISTICA CASTELLARANO</t>
  </si>
  <si>
    <t>03:01:14.60</t>
  </si>
  <si>
    <t>VALERIO</t>
  </si>
  <si>
    <t>ASD ACROPOLIS</t>
  </si>
  <si>
    <t>03:01:23.10</t>
  </si>
  <si>
    <t>BERTONI</t>
  </si>
  <si>
    <t>CIRCOLO ARCI MARZENO</t>
  </si>
  <si>
    <t>03:01:36.20</t>
  </si>
  <si>
    <t>ZAVALLONI</t>
  </si>
  <si>
    <t>03:01:52.00</t>
  </si>
  <si>
    <t>NERI</t>
  </si>
  <si>
    <t>03:01:54.20</t>
  </si>
  <si>
    <t>VECCIA</t>
  </si>
  <si>
    <t>RAGAMON</t>
  </si>
  <si>
    <t>03:01:58.00</t>
  </si>
  <si>
    <t>MINGRONI</t>
  </si>
  <si>
    <t>PIETROPAOLO</t>
  </si>
  <si>
    <t>03:02:11.00</t>
  </si>
  <si>
    <t>ZITAROSA</t>
  </si>
  <si>
    <t>POL. BIBBIANESE</t>
  </si>
  <si>
    <t>03:02:16.20</t>
  </si>
  <si>
    <t>GORINI</t>
  </si>
  <si>
    <t>MICHELA</t>
  </si>
  <si>
    <t>GC TENTICICLISMO</t>
  </si>
  <si>
    <t>03:02:25.20</t>
  </si>
  <si>
    <t>PRATI</t>
  </si>
  <si>
    <t>MARIA CRISTINA</t>
  </si>
  <si>
    <t>DB</t>
  </si>
  <si>
    <t>03:02:26.10</t>
  </si>
  <si>
    <t>SANGIORGI</t>
  </si>
  <si>
    <t>FRIDO</t>
  </si>
  <si>
    <t>ASD CICLO ESTENSE MESOLA</t>
  </si>
  <si>
    <t>03:02:26.80</t>
  </si>
  <si>
    <t>03:02:27.10</t>
  </si>
  <si>
    <t>PARI</t>
  </si>
  <si>
    <t>GC ZANZINI BIKE TEAM</t>
  </si>
  <si>
    <t>03:02:27.20</t>
  </si>
  <si>
    <t>03:02:27.50</t>
  </si>
  <si>
    <t>NINI</t>
  </si>
  <si>
    <t>03:02:29.40</t>
  </si>
  <si>
    <t>MARTINELLO</t>
  </si>
  <si>
    <t>03:02:29.80</t>
  </si>
  <si>
    <t>DIDONE'</t>
  </si>
  <si>
    <t>ANTONINO</t>
  </si>
  <si>
    <t>GF PINARELLO</t>
  </si>
  <si>
    <t>03:02:30.20</t>
  </si>
  <si>
    <t>MINARDI</t>
  </si>
  <si>
    <t>PESCE</t>
  </si>
  <si>
    <t>MARIO VITO</t>
  </si>
  <si>
    <t>POL BERTOLT BRECH</t>
  </si>
  <si>
    <t>03:02:30.40</t>
  </si>
  <si>
    <t>DARIA</t>
  </si>
  <si>
    <t>03:02:31.00</t>
  </si>
  <si>
    <t>CODE CHIP 50064528</t>
  </si>
  <si>
    <t>03:02:31.20</t>
  </si>
  <si>
    <t>MAZZOLI</t>
  </si>
  <si>
    <t>ASD FERRETTI TEAM</t>
  </si>
  <si>
    <t>03:02:31.70</t>
  </si>
  <si>
    <t>GALLESCHI</t>
  </si>
  <si>
    <t>GIULIO</t>
  </si>
  <si>
    <t>PARKPRE GURU SELLEITALIA</t>
  </si>
  <si>
    <t>03:02:32.30</t>
  </si>
  <si>
    <t>PESARESI</t>
  </si>
  <si>
    <t>03:02:32.60</t>
  </si>
  <si>
    <t>UC MODIGLIANESE</t>
  </si>
  <si>
    <t>03:02:34.10</t>
  </si>
  <si>
    <t>VITO</t>
  </si>
  <si>
    <t>03:02:37.30</t>
  </si>
  <si>
    <t>TURCI</t>
  </si>
  <si>
    <t>FRANCO</t>
  </si>
  <si>
    <t>03:02:38.30</t>
  </si>
  <si>
    <t>SIRRI</t>
  </si>
  <si>
    <t>TARTANA BIKE</t>
  </si>
  <si>
    <t>03:02:38.60</t>
  </si>
  <si>
    <t>DE ANGELI</t>
  </si>
  <si>
    <t>OSCAR</t>
  </si>
  <si>
    <t>03:02:39.70</t>
  </si>
  <si>
    <t>CAPRA</t>
  </si>
  <si>
    <t>03:02:40.00</t>
  </si>
  <si>
    <t>CANALI</t>
  </si>
  <si>
    <t>AS DIL PEDALE AGUGLIANESE</t>
  </si>
  <si>
    <t>03:02:43.20</t>
  </si>
  <si>
    <t>BRIZZI</t>
  </si>
  <si>
    <t>TEAM SACCARELLI ALTOTEVERE</t>
  </si>
  <si>
    <t>03:02:45.20</t>
  </si>
  <si>
    <t>TREZZI</t>
  </si>
  <si>
    <t>ADS CRESCENZAGO</t>
  </si>
  <si>
    <t>03:02:49.10</t>
  </si>
  <si>
    <t>CATTABRIGA</t>
  </si>
  <si>
    <t>TREE TEAM</t>
  </si>
  <si>
    <t>03:02:56.10</t>
  </si>
  <si>
    <t>GALEOTTI</t>
  </si>
  <si>
    <t>MANUELE</t>
  </si>
  <si>
    <t>03:02:56.20</t>
  </si>
  <si>
    <t>GIORGI</t>
  </si>
  <si>
    <t>03:02:56.60</t>
  </si>
  <si>
    <t>COLOMBINI</t>
  </si>
  <si>
    <t>LIBERO</t>
  </si>
  <si>
    <t>TEAM CRAL CONTINENTAL</t>
  </si>
  <si>
    <t>03:02:57.20</t>
  </si>
  <si>
    <t>COLAGÈ</t>
  </si>
  <si>
    <t>GRAZIANO</t>
  </si>
  <si>
    <t>ASD D'ASCENZO BIKE</t>
  </si>
  <si>
    <t>03:03:02.60</t>
  </si>
  <si>
    <t>VERMIGLI</t>
  </si>
  <si>
    <t>DLF ORTE ASD</t>
  </si>
  <si>
    <t>03:03:04.10</t>
  </si>
  <si>
    <t>DI GIROLAMO</t>
  </si>
  <si>
    <t>03:03:05.20</t>
  </si>
  <si>
    <t>PRADERA</t>
  </si>
  <si>
    <t>AC GRUPPO C.F. CARPEGNA</t>
  </si>
  <si>
    <t>03:03:10.40</t>
  </si>
  <si>
    <t>BAGNOLINI</t>
  </si>
  <si>
    <t>03:03:13.50</t>
  </si>
  <si>
    <t>DELLA BARTOLA</t>
  </si>
  <si>
    <t>03:03:20.10</t>
  </si>
  <si>
    <t>BONOLDI</t>
  </si>
  <si>
    <t>GS PEDALE BAGNOLESE</t>
  </si>
  <si>
    <t>03:03:20.30</t>
  </si>
  <si>
    <t>DOMENICONI</t>
  </si>
  <si>
    <t>MIRKO</t>
  </si>
  <si>
    <t>TEAM SINTESI ADESTE MG</t>
  </si>
  <si>
    <t>03:03:20.60</t>
  </si>
  <si>
    <t>CECCONI</t>
  </si>
  <si>
    <t>03:03:23.60</t>
  </si>
  <si>
    <t>CAPPELLETTI</t>
  </si>
  <si>
    <t>ALVIERO</t>
  </si>
  <si>
    <t>03:03:26.70</t>
  </si>
  <si>
    <t>DIOMEDI</t>
  </si>
  <si>
    <t>CLAUDIO</t>
  </si>
  <si>
    <t>GC TUDERTE</t>
  </si>
  <si>
    <t>03:03:26.80</t>
  </si>
  <si>
    <t>CATTERINI</t>
  </si>
  <si>
    <t>LAMBERTO</t>
  </si>
  <si>
    <t>03:03:36.20</t>
  </si>
  <si>
    <t>MASETTI</t>
  </si>
  <si>
    <t>03:03:38.20</t>
  </si>
  <si>
    <t>03:03:42.30</t>
  </si>
  <si>
    <t>BRAZZETTI</t>
  </si>
  <si>
    <t>TOMMASO</t>
  </si>
  <si>
    <t>GS CASENTINESE</t>
  </si>
  <si>
    <t>03:03:49.20</t>
  </si>
  <si>
    <t>TRIVELLI</t>
  </si>
  <si>
    <t>ASD FUTUR BIKE</t>
  </si>
  <si>
    <t>03:03:50.30</t>
  </si>
  <si>
    <t>COATTI</t>
  </si>
  <si>
    <t>GS BIKE LUGO</t>
  </si>
  <si>
    <t>SERROTTI</t>
  </si>
  <si>
    <t>03:03:51.40</t>
  </si>
  <si>
    <t>FERRANTE</t>
  </si>
  <si>
    <t>ERASMO</t>
  </si>
  <si>
    <t>AS WORLD TRACK</t>
  </si>
  <si>
    <t>03:03:55.90</t>
  </si>
  <si>
    <t>TABARELLI</t>
  </si>
  <si>
    <t>ALEARDO</t>
  </si>
  <si>
    <t>03:03:58.30</t>
  </si>
  <si>
    <t>CASTELLARI</t>
  </si>
  <si>
    <t>03:04:00.20</t>
  </si>
  <si>
    <t>ALTAMURA</t>
  </si>
  <si>
    <t>FRANCESCO PAOLO</t>
  </si>
  <si>
    <t>03:04:00.30</t>
  </si>
  <si>
    <t>ROSSI</t>
  </si>
  <si>
    <t>CIRCOLO MINERVA</t>
  </si>
  <si>
    <t>03:04:06.90</t>
  </si>
  <si>
    <t>BUCCI VECCHIO</t>
  </si>
  <si>
    <t>03:04:11.80</t>
  </si>
  <si>
    <t>REDAELLI</t>
  </si>
  <si>
    <t>ASD GIO' N' DENT</t>
  </si>
  <si>
    <t>03:04:13.20</t>
  </si>
  <si>
    <t>SACCHI</t>
  </si>
  <si>
    <t>IVAN</t>
  </si>
  <si>
    <t>03:04:15.10</t>
  </si>
  <si>
    <t>03:04:15.40</t>
  </si>
  <si>
    <t>BUNICCI</t>
  </si>
  <si>
    <t>SCAVEZZON SQUADRA CORSE</t>
  </si>
  <si>
    <t>03:04:15.60</t>
  </si>
  <si>
    <t>GADANI</t>
  </si>
  <si>
    <t>GS DIDA CONF</t>
  </si>
  <si>
    <t>03:04:16.00</t>
  </si>
  <si>
    <t>GUZZON</t>
  </si>
  <si>
    <t>03:04:22.20</t>
  </si>
  <si>
    <t>ROSSETTI</t>
  </si>
  <si>
    <t>TEAM PERUFFO</t>
  </si>
  <si>
    <t>03:04:23.10</t>
  </si>
  <si>
    <t>VANDI</t>
  </si>
  <si>
    <t>03:04:23.30</t>
  </si>
  <si>
    <t>BALDISSERA</t>
  </si>
  <si>
    <t>03:04:23.50</t>
  </si>
  <si>
    <t>MARSILIO</t>
  </si>
  <si>
    <t>PIETRO</t>
  </si>
  <si>
    <t>03:04:26.00</t>
  </si>
  <si>
    <t>TONEZZER</t>
  </si>
  <si>
    <t>AC PERGINESE</t>
  </si>
  <si>
    <t>03:04:27.00</t>
  </si>
  <si>
    <t>FARONI</t>
  </si>
  <si>
    <t>TEAM STRABICI</t>
  </si>
  <si>
    <t>03:04:29.00</t>
  </si>
  <si>
    <t>SIRONI</t>
  </si>
  <si>
    <t>03:04:33.00</t>
  </si>
  <si>
    <t>GILMOZZI</t>
  </si>
  <si>
    <t>GIANCARLO</t>
  </si>
  <si>
    <t>FREE SPORT FIEMMEFASSA</t>
  </si>
  <si>
    <t>03:04:40.30</t>
  </si>
  <si>
    <t>SCARPONI</t>
  </si>
  <si>
    <t>CARLO</t>
  </si>
  <si>
    <t>ASD ANNOPRIMO</t>
  </si>
  <si>
    <t>03:04:51.10</t>
  </si>
  <si>
    <t>REGINELLI</t>
  </si>
  <si>
    <t>API TEAM CYCLING</t>
  </si>
  <si>
    <t>03:04:52.10</t>
  </si>
  <si>
    <t>BORTOLANI</t>
  </si>
  <si>
    <t>POLISPORTIVA OLIMPIA VIGNOLA</t>
  </si>
  <si>
    <t>03:05:07.10</t>
  </si>
  <si>
    <t>FIORI</t>
  </si>
  <si>
    <t>03:05:07.80</t>
  </si>
  <si>
    <t>COMI</t>
  </si>
  <si>
    <t>ASD BIKE WORLD</t>
  </si>
  <si>
    <t>03:05:08.40</t>
  </si>
  <si>
    <t>TARRONI</t>
  </si>
  <si>
    <t>SC VOLTANA</t>
  </si>
  <si>
    <t>03:05:09.00</t>
  </si>
  <si>
    <t>MICHELE</t>
  </si>
  <si>
    <t>03:05:09.40</t>
  </si>
  <si>
    <t>MAIOLI</t>
  </si>
  <si>
    <t>03:05:13.30</t>
  </si>
  <si>
    <t>MOSCA</t>
  </si>
  <si>
    <t>03:05:15.10</t>
  </si>
  <si>
    <t>GIULIANELLI</t>
  </si>
  <si>
    <t>MORENO</t>
  </si>
  <si>
    <t>03:05:16.80</t>
  </si>
  <si>
    <t>GIANNINI</t>
  </si>
  <si>
    <t>03:05:25.20</t>
  </si>
  <si>
    <t>SALVUCCI</t>
  </si>
  <si>
    <t>GS CICLI GAUDENZI</t>
  </si>
  <si>
    <t>03:05:25.30</t>
  </si>
  <si>
    <t>SILVESTRI</t>
  </si>
  <si>
    <t>03:05:29.60</t>
  </si>
  <si>
    <t>FERRARO</t>
  </si>
  <si>
    <t>FEDERICA</t>
  </si>
  <si>
    <t>PHONIX RACING TEAM</t>
  </si>
  <si>
    <t>03:05:40.20</t>
  </si>
  <si>
    <t>MIOZZO</t>
  </si>
  <si>
    <t>03:05:41.40</t>
  </si>
  <si>
    <t>TRIFIRO</t>
  </si>
  <si>
    <t>TEAM IMMOPROGRAM CONSULCA</t>
  </si>
  <si>
    <t>03:05:43.40</t>
  </si>
  <si>
    <t>PARISE</t>
  </si>
  <si>
    <t>ANTONIO</t>
  </si>
  <si>
    <t>SC VALCHIAMPO</t>
  </si>
  <si>
    <t>03:05:43.50</t>
  </si>
  <si>
    <t>LUDOVICI</t>
  </si>
  <si>
    <t>GS CICLI EFFE-EFFE</t>
  </si>
  <si>
    <t>03:05:44.30</t>
  </si>
  <si>
    <t>SCIARRA</t>
  </si>
  <si>
    <t>ALFREDO</t>
  </si>
  <si>
    <t>CLUB SAN BENEDETTO 2000</t>
  </si>
  <si>
    <t>03:05:47.00</t>
  </si>
  <si>
    <t>RUGGERI</t>
  </si>
  <si>
    <t>UGO</t>
  </si>
  <si>
    <t>ASD FRANCHINI SPORT</t>
  </si>
  <si>
    <t>03:05:47.20</t>
  </si>
  <si>
    <t>BARTOLUCCI</t>
  </si>
  <si>
    <t>BIGONE</t>
  </si>
  <si>
    <t>03:05:48.00</t>
  </si>
  <si>
    <t>LEONE</t>
  </si>
  <si>
    <t>03:05:49.40</t>
  </si>
  <si>
    <t>MARONI</t>
  </si>
  <si>
    <t>03:05:54.40</t>
  </si>
  <si>
    <t>CENNI</t>
  </si>
  <si>
    <t>03:06:00.40</t>
  </si>
  <si>
    <t>ULIVIERI</t>
  </si>
  <si>
    <t>ENZO</t>
  </si>
  <si>
    <t>GRIP MTB CASTELFIORENTINO</t>
  </si>
  <si>
    <t>03:06:01.10</t>
  </si>
  <si>
    <t>RAGGINI</t>
  </si>
  <si>
    <t>ASD MEDINOX</t>
  </si>
  <si>
    <t>03:06:04.60</t>
  </si>
  <si>
    <t>ALBERTI</t>
  </si>
  <si>
    <t>SC ITALIA NUOVA</t>
  </si>
  <si>
    <t>03:06:06.20</t>
  </si>
  <si>
    <t>QUARESIMA</t>
  </si>
  <si>
    <t>03:06:08.90</t>
  </si>
  <si>
    <t>CAPRONI</t>
  </si>
  <si>
    <t>ASD TEAM VELO LINE</t>
  </si>
  <si>
    <t>03:06:09.80</t>
  </si>
  <si>
    <t>MOSCONI</t>
  </si>
  <si>
    <t>03:06:09.90</t>
  </si>
  <si>
    <t>03:06:10.20</t>
  </si>
  <si>
    <t>SCARDOVI</t>
  </si>
  <si>
    <t>ILIANO</t>
  </si>
  <si>
    <t>SC VELOCIRAPTOR</t>
  </si>
  <si>
    <t>03:06:10.30</t>
  </si>
  <si>
    <t>PAGANELLI</t>
  </si>
  <si>
    <t>03:06:10.50</t>
  </si>
  <si>
    <t>MORETTI</t>
  </si>
  <si>
    <t>03:06:10.60</t>
  </si>
  <si>
    <t>DONINI</t>
  </si>
  <si>
    <t>SCAFETTA</t>
  </si>
  <si>
    <t>ANNAMARIA</t>
  </si>
  <si>
    <t>GS ESERCITO</t>
  </si>
  <si>
    <t>03:06:12.10</t>
  </si>
  <si>
    <t>03:06:12.60</t>
  </si>
  <si>
    <t>CARLONI</t>
  </si>
  <si>
    <t>RAFFAELLA</t>
  </si>
  <si>
    <t>03:06:15.70</t>
  </si>
  <si>
    <t>PAROLINI</t>
  </si>
  <si>
    <t>PEDALE MEDOLESE</t>
  </si>
  <si>
    <t>03:06:17.40</t>
  </si>
  <si>
    <t>ASTOLFI</t>
  </si>
  <si>
    <t>03:06:17.50</t>
  </si>
  <si>
    <t>COTTIGNOLI</t>
  </si>
  <si>
    <t>TEAM ZANETTI</t>
  </si>
  <si>
    <t>03:06:18.60</t>
  </si>
  <si>
    <t>ZAFFERANI</t>
  </si>
  <si>
    <t>03:06:19.00</t>
  </si>
  <si>
    <t>RUFFILLI</t>
  </si>
  <si>
    <t>03:06:22.40</t>
  </si>
  <si>
    <t>DE LUCA</t>
  </si>
  <si>
    <t>GS GRIFO BIKE PERUGIA</t>
  </si>
  <si>
    <t>03:06:28.70</t>
  </si>
  <si>
    <t>BUZZONI</t>
  </si>
  <si>
    <t>03:06:43.60</t>
  </si>
  <si>
    <t>TASSINARI</t>
  </si>
  <si>
    <t>03:06:48.90</t>
  </si>
  <si>
    <t>CARITATEVOLI</t>
  </si>
  <si>
    <t>FAUSTO</t>
  </si>
  <si>
    <t>ASD NUOVO PARCO DEI CILIEGI</t>
  </si>
  <si>
    <t>03:06:56.30</t>
  </si>
  <si>
    <t>LUCCARELLI</t>
  </si>
  <si>
    <t>AS BELLINZAGO LOMBARDO</t>
  </si>
  <si>
    <t>03:07:15.20</t>
  </si>
  <si>
    <t>SEMPRUCCI</t>
  </si>
  <si>
    <t>GS PIO CASCIANI</t>
  </si>
  <si>
    <t>03:07:21.20</t>
  </si>
  <si>
    <t>BRANCACCIO</t>
  </si>
  <si>
    <t>03:07:35.10</t>
  </si>
  <si>
    <t>IACOMUCCI</t>
  </si>
  <si>
    <t>VALTER</t>
  </si>
  <si>
    <t>SC FANESE</t>
  </si>
  <si>
    <t>03:07:41.50</t>
  </si>
  <si>
    <t>TEAM PIERI CALAMAI</t>
  </si>
  <si>
    <t>03:07:43.30</t>
  </si>
  <si>
    <t>FOSCA</t>
  </si>
  <si>
    <t>LORENZO</t>
  </si>
  <si>
    <t>SIDERM F.LLI VITALI LATTONIERI</t>
  </si>
  <si>
    <t>03:07:46.30</t>
  </si>
  <si>
    <t>MAMI</t>
  </si>
  <si>
    <t>03:07:48.50</t>
  </si>
  <si>
    <t>MALDINI</t>
  </si>
  <si>
    <t>03:07:51.10</t>
  </si>
  <si>
    <t>PATERNOSTRO</t>
  </si>
  <si>
    <t>03:07:58.20</t>
  </si>
  <si>
    <t>CIAPPINI</t>
  </si>
  <si>
    <t>ASD RIVIERA AZZURA</t>
  </si>
  <si>
    <t>03:08:02.40</t>
  </si>
  <si>
    <t>MONDINI</t>
  </si>
  <si>
    <t>GIAN PAOLO</t>
  </si>
  <si>
    <t>03:08:02.70</t>
  </si>
  <si>
    <t>SERAFINI</t>
  </si>
  <si>
    <t>GIANFRANCO</t>
  </si>
  <si>
    <t>ASD ISIBIKE</t>
  </si>
  <si>
    <t>03:08:07.10</t>
  </si>
  <si>
    <t>SCHEIDECKER</t>
  </si>
  <si>
    <t>RICARDO</t>
  </si>
  <si>
    <t>03:08:08.10</t>
  </si>
  <si>
    <t>03:08:09.50</t>
  </si>
  <si>
    <t>VALLA</t>
  </si>
  <si>
    <t>ASD COOPERATIVI UNIPOL</t>
  </si>
  <si>
    <t>03:08:14.60</t>
  </si>
  <si>
    <t>CANTARUTTI</t>
  </si>
  <si>
    <t>GS PED.MANZANESE</t>
  </si>
  <si>
    <t>03:08:16.20</t>
  </si>
  <si>
    <t>POLISPORTIVA SAN VITTORE - ALFIO TANI</t>
  </si>
  <si>
    <t>03:08:17.40</t>
  </si>
  <si>
    <t>LEARDINI</t>
  </si>
  <si>
    <t>03:08:18.20</t>
  </si>
  <si>
    <t>CATALANI</t>
  </si>
  <si>
    <t>GIULIANO</t>
  </si>
  <si>
    <t>LORENZI</t>
  </si>
  <si>
    <t>03:08:18.70</t>
  </si>
  <si>
    <t>AURELI</t>
  </si>
  <si>
    <t>SANZIO</t>
  </si>
  <si>
    <t>03:08:19.30</t>
  </si>
  <si>
    <t>ZAMBELLI</t>
  </si>
  <si>
    <t>03:08:20.30</t>
  </si>
  <si>
    <t>GIOMBETTI</t>
  </si>
  <si>
    <t>ASD MASSI CLUB</t>
  </si>
  <si>
    <t>03:08:22.70</t>
  </si>
  <si>
    <t>MANENTI</t>
  </si>
  <si>
    <t>03:08:26.10</t>
  </si>
  <si>
    <t>GUZZINATI</t>
  </si>
  <si>
    <t>03:08:28.20</t>
  </si>
  <si>
    <t>GHERARDI</t>
  </si>
  <si>
    <t>03:08:28.60</t>
  </si>
  <si>
    <t>03:08:31.40</t>
  </si>
  <si>
    <t>LIONETTI</t>
  </si>
  <si>
    <t>03:08:34.50</t>
  </si>
  <si>
    <t>DALL'AGNOL</t>
  </si>
  <si>
    <t>MICHEL</t>
  </si>
  <si>
    <t>03:08:35.20</t>
  </si>
  <si>
    <t>CAMPAGNA</t>
  </si>
  <si>
    <t>GS CICLI MORBIATO</t>
  </si>
  <si>
    <t>03:08:36.30</t>
  </si>
  <si>
    <t>PELLIZZARI</t>
  </si>
  <si>
    <t>03:08:37.40</t>
  </si>
  <si>
    <t>CERVO</t>
  </si>
  <si>
    <t>03:08:38.20</t>
  </si>
  <si>
    <t>TOMEI</t>
  </si>
  <si>
    <t>IVANO</t>
  </si>
  <si>
    <t>03:08:38.40</t>
  </si>
  <si>
    <t>ANDREATTINI</t>
  </si>
  <si>
    <t>GS BICI FESTIVAL</t>
  </si>
  <si>
    <t>03:08:41.40</t>
  </si>
  <si>
    <t>TASSI</t>
  </si>
  <si>
    <t>03:08:43.10</t>
  </si>
  <si>
    <t>ZAVAGLI</t>
  </si>
  <si>
    <t>GIANNI</t>
  </si>
  <si>
    <t>03:08:43.30</t>
  </si>
  <si>
    <t>LANDI</t>
  </si>
  <si>
    <t>03:08:46.80</t>
  </si>
  <si>
    <t>MARALDI</t>
  </si>
  <si>
    <t>03:08:49.70</t>
  </si>
  <si>
    <t>DI RENZO</t>
  </si>
  <si>
    <t>ASD CCFB BROKER CONSULT</t>
  </si>
  <si>
    <t>03:08:53.00</t>
  </si>
  <si>
    <t>CELATO</t>
  </si>
  <si>
    <t>03:08:54.50</t>
  </si>
  <si>
    <t>REPACI</t>
  </si>
  <si>
    <t>03:08:57.20</t>
  </si>
  <si>
    <t>VULCAN</t>
  </si>
  <si>
    <t>03:08:57.30</t>
  </si>
  <si>
    <t>FROSALI</t>
  </si>
  <si>
    <t>GS VIGILI DEL FUOCO</t>
  </si>
  <si>
    <t>03:09:12.00</t>
  </si>
  <si>
    <t>FERRETTI</t>
  </si>
  <si>
    <t>DEMETRIO</t>
  </si>
  <si>
    <t>03:09:14.40</t>
  </si>
  <si>
    <t>STEFANI</t>
  </si>
  <si>
    <t>ROSSANO</t>
  </si>
  <si>
    <t>TEAM CICLI CAMPIOLI</t>
  </si>
  <si>
    <t>03:09:15.10</t>
  </si>
  <si>
    <t>BALDAZZI</t>
  </si>
  <si>
    <t>03:09:17.40</t>
  </si>
  <si>
    <t>03:09:26.60</t>
  </si>
  <si>
    <t>NEGRO</t>
  </si>
  <si>
    <t>ASD TRESTABERNAE</t>
  </si>
  <si>
    <t>03:09:30.70</t>
  </si>
  <si>
    <t>CANCELLIERI</t>
  </si>
  <si>
    <t>OMAR</t>
  </si>
  <si>
    <t>03:09:38.20</t>
  </si>
  <si>
    <t>BASTIA</t>
  </si>
  <si>
    <t>JOSE'</t>
  </si>
  <si>
    <t>03:09:39.20</t>
  </si>
  <si>
    <t>D'ETTORE</t>
  </si>
  <si>
    <t>03:09:42.10</t>
  </si>
  <si>
    <t>STORETTI</t>
  </si>
  <si>
    <t>CICLO CLUB VALLONE</t>
  </si>
  <si>
    <t>03:09:44.60</t>
  </si>
  <si>
    <t>BOGA</t>
  </si>
  <si>
    <t>03:09:46.00</t>
  </si>
  <si>
    <t>BEZZI</t>
  </si>
  <si>
    <t>04:52:30.40</t>
  </si>
  <si>
    <t>CALVARESI</t>
  </si>
  <si>
    <t>04:52:32.10</t>
  </si>
  <si>
    <t>TRECCANI</t>
  </si>
  <si>
    <t>04:52:40.10</t>
  </si>
  <si>
    <t>SCURI</t>
  </si>
  <si>
    <t>04:52:43.20</t>
  </si>
  <si>
    <t>04:52:43.40</t>
  </si>
  <si>
    <t>CECCATO</t>
  </si>
  <si>
    <t>04:52:49.10</t>
  </si>
  <si>
    <t>COZZOLINO</t>
  </si>
  <si>
    <t>04:52:56.70</t>
  </si>
  <si>
    <t>04:53:05.30</t>
  </si>
  <si>
    <t>BUTTI</t>
  </si>
  <si>
    <t>VESTINA BIKE</t>
  </si>
  <si>
    <t>04:53:07.00</t>
  </si>
  <si>
    <t>04:53:07.40</t>
  </si>
  <si>
    <t>BRACCIONI</t>
  </si>
  <si>
    <t>04:53:13.30</t>
  </si>
  <si>
    <t>04:53:20.10</t>
  </si>
  <si>
    <t>04:53:33.20</t>
  </si>
  <si>
    <t>CALELLA</t>
  </si>
  <si>
    <t>BEATRICE</t>
  </si>
  <si>
    <t>SS AUTOTRASPORTI CONVERTINI</t>
  </si>
  <si>
    <t>04:53:38.00</t>
  </si>
  <si>
    <t>CLUB CICLI MALINI</t>
  </si>
  <si>
    <t>04:53:38.30</t>
  </si>
  <si>
    <t>BRUN</t>
  </si>
  <si>
    <t>ASD SOLIGHETTO</t>
  </si>
  <si>
    <t>04:53:44.80</t>
  </si>
  <si>
    <t>MAROZZI</t>
  </si>
  <si>
    <t>04:53:58.30</t>
  </si>
  <si>
    <t>SABATINI ODOARDI</t>
  </si>
  <si>
    <t>04:53:58.50</t>
  </si>
  <si>
    <t>MANGHI</t>
  </si>
  <si>
    <t>04:54:04.50</t>
  </si>
  <si>
    <t>PETRUCCI</t>
  </si>
  <si>
    <t>SC GROSSETO</t>
  </si>
  <si>
    <t>04:54:19.10</t>
  </si>
  <si>
    <t>SINIBALDI</t>
  </si>
  <si>
    <t>SC EMPORIO BICI MAX TEAM</t>
  </si>
  <si>
    <t>04:54:20.20</t>
  </si>
  <si>
    <t>PERIN</t>
  </si>
  <si>
    <t>04:54:26.00</t>
  </si>
  <si>
    <t>CARLO MARCO</t>
  </si>
  <si>
    <t>04:54:27.60</t>
  </si>
  <si>
    <t>ARIATTI</t>
  </si>
  <si>
    <t>SARAH</t>
  </si>
  <si>
    <t>04:54:28.10</t>
  </si>
  <si>
    <t>04:54:28.20</t>
  </si>
  <si>
    <t>CHIARELLO</t>
  </si>
  <si>
    <t>ASD VP PAROLIN</t>
  </si>
  <si>
    <t>04:54:30.60</t>
  </si>
  <si>
    <t>GUIDETTI</t>
  </si>
  <si>
    <t>ARDO</t>
  </si>
  <si>
    <t>UC EMPORIO BICI MAX TEAM</t>
  </si>
  <si>
    <t>04:54:31.40</t>
  </si>
  <si>
    <t>SURACI</t>
  </si>
  <si>
    <t>04:54:33.40</t>
  </si>
  <si>
    <t>LUZZANI</t>
  </si>
  <si>
    <t>SC STORO</t>
  </si>
  <si>
    <t>04:54:35.70</t>
  </si>
  <si>
    <t>04:54:36.20</t>
  </si>
  <si>
    <t>FOGNANI</t>
  </si>
  <si>
    <t>04:54:39.20</t>
  </si>
  <si>
    <t>BELLETTI</t>
  </si>
  <si>
    <t>CARLO ENRICO</t>
  </si>
  <si>
    <t>04:54:40.10</t>
  </si>
  <si>
    <t>DACARINTI</t>
  </si>
  <si>
    <t>04:54:44.50</t>
  </si>
  <si>
    <t>REA</t>
  </si>
  <si>
    <t>04:54:45.40</t>
  </si>
  <si>
    <t>NOVELLI</t>
  </si>
  <si>
    <t>04:54:46.40</t>
  </si>
  <si>
    <t>GALAZZETTI</t>
  </si>
  <si>
    <t>04:54:48.80</t>
  </si>
  <si>
    <t>RUBAGOTTI</t>
  </si>
  <si>
    <t>04:55:02.00</t>
  </si>
  <si>
    <t>04:55:05.30</t>
  </si>
  <si>
    <t>04:55:07.20</t>
  </si>
  <si>
    <t>PATACCHINI</t>
  </si>
  <si>
    <t>04:55:18.10</t>
  </si>
  <si>
    <t>PASQUALE</t>
  </si>
  <si>
    <t>04:55:19.10</t>
  </si>
  <si>
    <t>04:55:20.90</t>
  </si>
  <si>
    <t>04:55:28.40</t>
  </si>
  <si>
    <t>MAZZUCCHI</t>
  </si>
  <si>
    <t>04:55:33.50</t>
  </si>
  <si>
    <t>04:55:52.50</t>
  </si>
  <si>
    <t>BELTRAME</t>
  </si>
  <si>
    <t>04:55:53.30</t>
  </si>
  <si>
    <t>DONEDA</t>
  </si>
  <si>
    <t>SC CERAMICHE PAGNONCELLI</t>
  </si>
  <si>
    <t>04:55:57.10</t>
  </si>
  <si>
    <t>GUIZZARDI</t>
  </si>
  <si>
    <t>04:55:57.20</t>
  </si>
  <si>
    <t>GIORGIONE</t>
  </si>
  <si>
    <t>A.IRPINIO</t>
  </si>
  <si>
    <t>04:56:01.60</t>
  </si>
  <si>
    <t>04:56:03.70</t>
  </si>
  <si>
    <t>GNERI</t>
  </si>
  <si>
    <t>04:56:05.20</t>
  </si>
  <si>
    <t>ATL. TRIANGOLO LARIANO</t>
  </si>
  <si>
    <t>04:56:10.80</t>
  </si>
  <si>
    <t>FRANCIA</t>
  </si>
  <si>
    <t>04:56:13.40</t>
  </si>
  <si>
    <t>TRIBUTI</t>
  </si>
  <si>
    <t>04:56:16.00</t>
  </si>
  <si>
    <t>LAMANTEA</t>
  </si>
  <si>
    <t>CICLO 2002 VITTUONE</t>
  </si>
  <si>
    <t>04:56:20.10</t>
  </si>
  <si>
    <t>ZONGA</t>
  </si>
  <si>
    <t>04:56:25.00</t>
  </si>
  <si>
    <t>04:56:25.50</t>
  </si>
  <si>
    <t>NECCHI</t>
  </si>
  <si>
    <t>04:56:26.70</t>
  </si>
  <si>
    <t>MT BIKE TEAM 2001</t>
  </si>
  <si>
    <t>04:56:28.90</t>
  </si>
  <si>
    <t>PANONTIN</t>
  </si>
  <si>
    <t>04:56:29.30</t>
  </si>
  <si>
    <t>PACI</t>
  </si>
  <si>
    <t>04:56:33.50</t>
  </si>
  <si>
    <t>04:56:34.70</t>
  </si>
  <si>
    <t>BREGANT</t>
  </si>
  <si>
    <t>U.C.  GRADISCA D'ISONZO</t>
  </si>
  <si>
    <t>04:56:41.60</t>
  </si>
  <si>
    <t>04:56:46.10</t>
  </si>
  <si>
    <t>04:56:46.60</t>
  </si>
  <si>
    <t>RODENGHI</t>
  </si>
  <si>
    <t>ASD POL.CICL ADRENSE</t>
  </si>
  <si>
    <t>04:56:49.30</t>
  </si>
  <si>
    <t>04:56:49.80</t>
  </si>
  <si>
    <t>IVO</t>
  </si>
  <si>
    <t>VC CASALASCO</t>
  </si>
  <si>
    <t>04:56:52.10</t>
  </si>
  <si>
    <t>BOLOGNA</t>
  </si>
  <si>
    <t>04:56:52.60</t>
  </si>
  <si>
    <t>DONNA</t>
  </si>
  <si>
    <t>04:56:55.40</t>
  </si>
  <si>
    <t>04:56:56.30</t>
  </si>
  <si>
    <t>04:56:58.40</t>
  </si>
  <si>
    <t>SAVINI</t>
  </si>
  <si>
    <t>SC PIEMME MOBILI PEDALE CHIARAVALLESE</t>
  </si>
  <si>
    <t>04:56:59.60</t>
  </si>
  <si>
    <t>VC SORA</t>
  </si>
  <si>
    <t>04:57:00.40</t>
  </si>
  <si>
    <t>GASPERINI</t>
  </si>
  <si>
    <t>04:57:00.90</t>
  </si>
  <si>
    <t>TISOT</t>
  </si>
  <si>
    <t>04:57:08.30</t>
  </si>
  <si>
    <t>VERNACCINI</t>
  </si>
  <si>
    <t>ASD PETROLVILLA - BERGNER BRAU</t>
  </si>
  <si>
    <t>04:57:13.60</t>
  </si>
  <si>
    <t>CORSETTI</t>
  </si>
  <si>
    <t>04:57:16.00</t>
  </si>
  <si>
    <t>PALUCCI</t>
  </si>
  <si>
    <t>04:57:18.80</t>
  </si>
  <si>
    <t>SPADONI</t>
  </si>
  <si>
    <t>04:57:23.00</t>
  </si>
  <si>
    <t>04:57:23.10</t>
  </si>
  <si>
    <t>POLISPORTIVA MATASSINO</t>
  </si>
  <si>
    <t>04:57:27.40</t>
  </si>
  <si>
    <t>FANTI</t>
  </si>
  <si>
    <t>04:57:27.90</t>
  </si>
  <si>
    <t>TURRI</t>
  </si>
  <si>
    <t>04:57:29.00</t>
  </si>
  <si>
    <t>BATTISTELLA</t>
  </si>
  <si>
    <t>GS PRASECCOBIESSE</t>
  </si>
  <si>
    <t>04:57:34.30</t>
  </si>
  <si>
    <t>COLA</t>
  </si>
  <si>
    <t>YURI</t>
  </si>
  <si>
    <t>04:57:40.40</t>
  </si>
  <si>
    <t>CAITI</t>
  </si>
  <si>
    <t>04:57:50.30</t>
  </si>
  <si>
    <t>ZUNNUI</t>
  </si>
  <si>
    <t>04:57:51.20</t>
  </si>
  <si>
    <t>TALAMINI</t>
  </si>
  <si>
    <t>04:57:52.40</t>
  </si>
  <si>
    <t>GABELLINI</t>
  </si>
  <si>
    <t>ASD VILLA S.MARTINO</t>
  </si>
  <si>
    <t>04:58:04.90</t>
  </si>
  <si>
    <t>MARTINEL</t>
  </si>
  <si>
    <t>CELLINA BIKE</t>
  </si>
  <si>
    <t>04:58:06.60</t>
  </si>
  <si>
    <t>04:58:11.30</t>
  </si>
  <si>
    <t>FAROLFI</t>
  </si>
  <si>
    <t>04:58:12.00</t>
  </si>
  <si>
    <t>PLACCI</t>
  </si>
  <si>
    <t>04:58:12.80</t>
  </si>
  <si>
    <t>CHILI</t>
  </si>
  <si>
    <t>04:58:13.20</t>
  </si>
  <si>
    <t>WEISSMULLER</t>
  </si>
  <si>
    <t>04:58:15.60</t>
  </si>
  <si>
    <t>04:58:16.30</t>
  </si>
  <si>
    <t>SANTARINI</t>
  </si>
  <si>
    <t>04:58:17.30</t>
  </si>
  <si>
    <t>ROVENO</t>
  </si>
  <si>
    <t>ASD BICI MONTE SAN PIETRO</t>
  </si>
  <si>
    <t>04:58:21.10</t>
  </si>
  <si>
    <t>04:58:25.30</t>
  </si>
  <si>
    <t>04:58:36.30</t>
  </si>
  <si>
    <t>04:58:38.00</t>
  </si>
  <si>
    <t>MASINI</t>
  </si>
  <si>
    <t>04:58:42.60</t>
  </si>
  <si>
    <t>ADELCHI</t>
  </si>
  <si>
    <t>04:58:44.30</t>
  </si>
  <si>
    <t>BERNI</t>
  </si>
  <si>
    <t>M.T. BIKE TEAM 2001</t>
  </si>
  <si>
    <t>04:58:45.20</t>
  </si>
  <si>
    <t>MIGLIORINI</t>
  </si>
  <si>
    <t>MASSIMINO</t>
  </si>
  <si>
    <t>ASD CARELLE MIGLIORINI</t>
  </si>
  <si>
    <t>04:58:50.10</t>
  </si>
  <si>
    <t>LONGARINI</t>
  </si>
  <si>
    <t>VILSON</t>
  </si>
  <si>
    <t>04:58:55.30</t>
  </si>
  <si>
    <t>MALOSSI</t>
  </si>
  <si>
    <t>04:58:55.40</t>
  </si>
  <si>
    <t>PERINI</t>
  </si>
  <si>
    <t>POL SAN GIORGIO UGO BIKE</t>
  </si>
  <si>
    <t>04:58:57.10</t>
  </si>
  <si>
    <t>04:58:58.20</t>
  </si>
  <si>
    <t>BRAVI</t>
  </si>
  <si>
    <t>04:59:02.40</t>
  </si>
  <si>
    <t>MARINELLI</t>
  </si>
  <si>
    <t>04:59:06.10</t>
  </si>
  <si>
    <t>PASQUETTI</t>
  </si>
  <si>
    <t>LEONARDI RACING</t>
  </si>
  <si>
    <t>04:59:06.30</t>
  </si>
  <si>
    <t>ZEI</t>
  </si>
  <si>
    <t>04:59:07.40</t>
  </si>
  <si>
    <t>NICOLINI</t>
  </si>
  <si>
    <t>04:59:07.60</t>
  </si>
  <si>
    <t>04:59:12.90</t>
  </si>
  <si>
    <t>SANCHINI</t>
  </si>
  <si>
    <t>04:59:13.00</t>
  </si>
  <si>
    <t>GAZZANI</t>
  </si>
  <si>
    <t>ANDRE</t>
  </si>
  <si>
    <t>04:59:18.30</t>
  </si>
  <si>
    <t>ALBERTONI</t>
  </si>
  <si>
    <t>04:59:18.70</t>
  </si>
  <si>
    <t>MAGALOTTI</t>
  </si>
  <si>
    <t>VENTURI ADVENTURE</t>
  </si>
  <si>
    <t>04:59:24.70</t>
  </si>
  <si>
    <t>ZENZANI</t>
  </si>
  <si>
    <t>ANTONELLO</t>
  </si>
  <si>
    <t>04:59:25.40</t>
  </si>
  <si>
    <t>04:59:25.50</t>
  </si>
  <si>
    <t>NICOLASI</t>
  </si>
  <si>
    <t>04:59:29.20</t>
  </si>
  <si>
    <t>FUSSI</t>
  </si>
  <si>
    <t>04:59:30.50</t>
  </si>
  <si>
    <t>BALDINI</t>
  </si>
  <si>
    <t>04:59:32.70</t>
  </si>
  <si>
    <t>MIRELLA</t>
  </si>
  <si>
    <t>04:59:33.10</t>
  </si>
  <si>
    <t>ASD MELOTTI BICI</t>
  </si>
  <si>
    <t>04:59:45.20</t>
  </si>
  <si>
    <t>DENITTIS</t>
  </si>
  <si>
    <t>04:59:49.00</t>
  </si>
  <si>
    <t>BAGAGLIA</t>
  </si>
  <si>
    <t>04:59:54.10</t>
  </si>
  <si>
    <t>04:59:54.60</t>
  </si>
  <si>
    <t>PROTO</t>
  </si>
  <si>
    <t>2 ZETA TEAM BIKE</t>
  </si>
  <si>
    <t>04:59:54.70</t>
  </si>
  <si>
    <t>DE MARI</t>
  </si>
  <si>
    <t>04:59:58.10</t>
  </si>
  <si>
    <t>PASQUALINI</t>
  </si>
  <si>
    <t>EXTREMA TEAM</t>
  </si>
  <si>
    <t>05:00:04.20</t>
  </si>
  <si>
    <t>TABACCO</t>
  </si>
  <si>
    <t>05:00:06.60</t>
  </si>
  <si>
    <t>G.PAOLO</t>
  </si>
  <si>
    <t>05:00:11.10</t>
  </si>
  <si>
    <t>CAPPONI</t>
  </si>
  <si>
    <t>05:00:15.00</t>
  </si>
  <si>
    <t>BENVENUTI</t>
  </si>
  <si>
    <t>05:00:18.40</t>
  </si>
  <si>
    <t>LEVRINI</t>
  </si>
  <si>
    <t>POLISPORTIVA CICLISTICA  SCANDIANO</t>
  </si>
  <si>
    <t>05:00:18.50</t>
  </si>
  <si>
    <t>CARLI</t>
  </si>
  <si>
    <t>05:00:21.10</t>
  </si>
  <si>
    <t>DE PETRA</t>
  </si>
  <si>
    <t>FORNACIARI</t>
  </si>
  <si>
    <t>05:00:22.20</t>
  </si>
  <si>
    <t>SERENA</t>
  </si>
  <si>
    <t>05:00:25.40</t>
  </si>
  <si>
    <t>FRANCI</t>
  </si>
  <si>
    <t>05:00:26.10</t>
  </si>
  <si>
    <t>05:00:27.30</t>
  </si>
  <si>
    <t>05:00:37.60</t>
  </si>
  <si>
    <t>MATTEUCCI</t>
  </si>
  <si>
    <t>05:00:42.10</t>
  </si>
  <si>
    <t>ZEROSEI CYCLI</t>
  </si>
  <si>
    <t>05:00:44.50</t>
  </si>
  <si>
    <t>MATTIOLI</t>
  </si>
  <si>
    <t>POLISPORTIVA BERIV</t>
  </si>
  <si>
    <t>05:00:45.10</t>
  </si>
  <si>
    <t>05:00:46.00</t>
  </si>
  <si>
    <t>CODA</t>
  </si>
  <si>
    <t>RINO</t>
  </si>
  <si>
    <t>05:00:48.10</t>
  </si>
  <si>
    <t>CERVELLIN</t>
  </si>
  <si>
    <t>05:00:50.30</t>
  </si>
  <si>
    <t>GALLETTI</t>
  </si>
  <si>
    <t>05:00:51.10</t>
  </si>
  <si>
    <t>SELCI</t>
  </si>
  <si>
    <t>05:00:51.30</t>
  </si>
  <si>
    <t>PIOVESAN</t>
  </si>
  <si>
    <t>05:00:51.70</t>
  </si>
  <si>
    <t>TRAMONTI</t>
  </si>
  <si>
    <t>SC POLISP.S.VITTORE GCALFIO TANI</t>
  </si>
  <si>
    <t>05:00:54.60</t>
  </si>
  <si>
    <t>05:00:56.50</t>
  </si>
  <si>
    <t>MOSCO</t>
  </si>
  <si>
    <t>05:00:57.20</t>
  </si>
  <si>
    <t>05:00:58.00</t>
  </si>
  <si>
    <t>DI MARTINO</t>
  </si>
  <si>
    <t>05:01:02.90</t>
  </si>
  <si>
    <t>MASSI</t>
  </si>
  <si>
    <t>05:01:12.20</t>
  </si>
  <si>
    <t>05:01:12.60</t>
  </si>
  <si>
    <t>GS ALPIN BIKE SONDRIO</t>
  </si>
  <si>
    <t>05:01:13.10</t>
  </si>
  <si>
    <t>CALEGARI</t>
  </si>
  <si>
    <t>05:01:16.40</t>
  </si>
  <si>
    <t>GS SIMECK RAIMONDI - PALETTI</t>
  </si>
  <si>
    <t>05:01:18.30</t>
  </si>
  <si>
    <t>BOTTONI</t>
  </si>
  <si>
    <t>05:01:25.30</t>
  </si>
  <si>
    <t>05:01:26.50</t>
  </si>
  <si>
    <t>05:01:31.00</t>
  </si>
  <si>
    <t>BARTOLONI</t>
  </si>
  <si>
    <t>05:01:36.60</t>
  </si>
  <si>
    <t>FALBO</t>
  </si>
  <si>
    <t>05:01:41.00</t>
  </si>
  <si>
    <t>DE ROVERE</t>
  </si>
  <si>
    <t>05:01:42.60</t>
  </si>
  <si>
    <t>PISACANE</t>
  </si>
  <si>
    <t>05:01:46.80</t>
  </si>
  <si>
    <t>RIGHINI</t>
  </si>
  <si>
    <t>05:01:47.10</t>
  </si>
  <si>
    <t>BONDIOLI</t>
  </si>
  <si>
    <t>GS PUNTO PESENTI</t>
  </si>
  <si>
    <t>05:01:48.30</t>
  </si>
  <si>
    <t>VERARDO</t>
  </si>
  <si>
    <t>05:01:48.90</t>
  </si>
  <si>
    <t>05:01:49.70</t>
  </si>
  <si>
    <t>BOSCARATTO</t>
  </si>
  <si>
    <t>CICLO SPORT CASALE</t>
  </si>
  <si>
    <t>05:01:51.20</t>
  </si>
  <si>
    <t>CAROLI</t>
  </si>
  <si>
    <t>SAIMON</t>
  </si>
  <si>
    <t>05:01:52.20</t>
  </si>
  <si>
    <t>PALADINI MOLGORA</t>
  </si>
  <si>
    <t>MARCO GIOVANNI</t>
  </si>
  <si>
    <t>05:01:52.30</t>
  </si>
  <si>
    <t>TISATO</t>
  </si>
  <si>
    <t>PIERANGELO</t>
  </si>
  <si>
    <t>ASD CA TRENTA</t>
  </si>
  <si>
    <t>05:01:54.20</t>
  </si>
  <si>
    <t>CARRAVETTA</t>
  </si>
  <si>
    <t>05:01:55.30</t>
  </si>
  <si>
    <t>CORSANO</t>
  </si>
  <si>
    <t>05:01:58.40</t>
  </si>
  <si>
    <t>MUFFATO</t>
  </si>
  <si>
    <t>05:02:00.50</t>
  </si>
  <si>
    <t>SIMONI</t>
  </si>
  <si>
    <t>05:02:03.30</t>
  </si>
  <si>
    <t>PILLON</t>
  </si>
  <si>
    <t>05:02:04.40</t>
  </si>
  <si>
    <t>SHTUL</t>
  </si>
  <si>
    <t>RAFAEL</t>
  </si>
  <si>
    <t>05:02:06.50</t>
  </si>
  <si>
    <t>05:02:09.00</t>
  </si>
  <si>
    <t>05:02:09.40</t>
  </si>
  <si>
    <t>05:02:10.20</t>
  </si>
  <si>
    <t>SPINELLA</t>
  </si>
  <si>
    <t>CARMELO</t>
  </si>
  <si>
    <t>CYBERG TEAM</t>
  </si>
  <si>
    <t>CAL</t>
  </si>
  <si>
    <t>ASD KI CO SYS</t>
  </si>
  <si>
    <t>05:02:12.10</t>
  </si>
  <si>
    <t>RINALDINI</t>
  </si>
  <si>
    <t>05:02:12.60</t>
  </si>
  <si>
    <t>DA LAN</t>
  </si>
  <si>
    <t>GRUPPO CARTAI</t>
  </si>
  <si>
    <t>05:02:13.30</t>
  </si>
  <si>
    <t>SPAGGIARI</t>
  </si>
  <si>
    <t>05:02:18.10</t>
  </si>
  <si>
    <t>BANDIERA</t>
  </si>
  <si>
    <t>BERNARD</t>
  </si>
  <si>
    <t>05:02:18.60</t>
  </si>
  <si>
    <t>05:02:18.80</t>
  </si>
  <si>
    <t>CINZOL</t>
  </si>
  <si>
    <t>05:02:19.30</t>
  </si>
  <si>
    <t>05:02:24.20</t>
  </si>
  <si>
    <t>05:02:30.50</t>
  </si>
  <si>
    <t>FRATTEGIANI</t>
  </si>
  <si>
    <t>05:02:30.60</t>
  </si>
  <si>
    <t>VISIOLI</t>
  </si>
  <si>
    <t>05:02:30.90</t>
  </si>
  <si>
    <t>PAROLIN</t>
  </si>
  <si>
    <t>SECONDO</t>
  </si>
  <si>
    <t>05:02:31.00</t>
  </si>
  <si>
    <t>05:02:35.20</t>
  </si>
  <si>
    <t>GROSSI</t>
  </si>
  <si>
    <t>05:02:43.40</t>
  </si>
  <si>
    <t>PITTIN</t>
  </si>
  <si>
    <t>05:02:44.10</t>
  </si>
  <si>
    <t>TORRICONE</t>
  </si>
  <si>
    <t>05:02:49.10</t>
  </si>
  <si>
    <t>TIVELLI</t>
  </si>
  <si>
    <t>05:02:50.30</t>
  </si>
  <si>
    <t>MANFREDINI</t>
  </si>
  <si>
    <t>PRO 3 TEAM</t>
  </si>
  <si>
    <t>05:02:51.50</t>
  </si>
  <si>
    <t>05:02:53.10</t>
  </si>
  <si>
    <t>GS RONTA</t>
  </si>
  <si>
    <t>05:02:53.20</t>
  </si>
  <si>
    <t>LEONARDI</t>
  </si>
  <si>
    <t>05:02:53.30</t>
  </si>
  <si>
    <t>05:02:56.80</t>
  </si>
  <si>
    <t>TOSCHI</t>
  </si>
  <si>
    <t>05:02:58.20</t>
  </si>
  <si>
    <t>PELLONI</t>
  </si>
  <si>
    <t>05:02:58.50</t>
  </si>
  <si>
    <t>05:03:00.30</t>
  </si>
  <si>
    <t>05:03:00.50</t>
  </si>
  <si>
    <t>BIAGI</t>
  </si>
  <si>
    <t>05:03:01.00</t>
  </si>
  <si>
    <t>ACCORSI</t>
  </si>
  <si>
    <t>05:03:02.10</t>
  </si>
  <si>
    <t>DELLA CORTE</t>
  </si>
  <si>
    <t>05:03:03.30</t>
  </si>
  <si>
    <t>MARCHET</t>
  </si>
  <si>
    <t>05:03:07.60</t>
  </si>
  <si>
    <t>CARMAGNINI</t>
  </si>
  <si>
    <t>05:03:11.10</t>
  </si>
  <si>
    <t>05:03:11.20</t>
  </si>
  <si>
    <t>RAGAZZO</t>
  </si>
  <si>
    <t>05:03:12.50</t>
  </si>
  <si>
    <t>RONCUCCI</t>
  </si>
  <si>
    <t>05:03:12.60</t>
  </si>
  <si>
    <t>05:03:13.20</t>
  </si>
  <si>
    <t>05:03:15.20</t>
  </si>
  <si>
    <t>05:03:15.70</t>
  </si>
  <si>
    <t>SGARZANI</t>
  </si>
  <si>
    <t>05:03:18.20</t>
  </si>
  <si>
    <t>05:03:19.40</t>
  </si>
  <si>
    <t>05:03:21.50</t>
  </si>
  <si>
    <t>CAMERINI</t>
  </si>
  <si>
    <t>05:03:23.20</t>
  </si>
  <si>
    <t>BONGIORNO</t>
  </si>
  <si>
    <t>05:03:28.50</t>
  </si>
  <si>
    <t>MERGOLA</t>
  </si>
  <si>
    <t>05:03:29.20</t>
  </si>
  <si>
    <t>05:03:32.80</t>
  </si>
  <si>
    <t>QUAGLIETTA</t>
  </si>
  <si>
    <t>05:03:39.10</t>
  </si>
  <si>
    <t>GP POL.SILLA</t>
  </si>
  <si>
    <t>05:03:51.00</t>
  </si>
  <si>
    <t>CHIARI</t>
  </si>
  <si>
    <t>GSD CRIS PLAST DESIDERIO BICI</t>
  </si>
  <si>
    <t>05:04:01.30</t>
  </si>
  <si>
    <t>SAMOGIZIO</t>
  </si>
  <si>
    <t>FUMACCINI</t>
  </si>
  <si>
    <t>ASC GC SAN BORTOLO</t>
  </si>
  <si>
    <t>05:04:01.40</t>
  </si>
  <si>
    <t>POLATO</t>
  </si>
  <si>
    <t>ALBINO</t>
  </si>
  <si>
    <t>TEAM ZERO MENO</t>
  </si>
  <si>
    <t>05:04:05.40</t>
  </si>
  <si>
    <t>INCENSI</t>
  </si>
  <si>
    <t>05:04:24.10</t>
  </si>
  <si>
    <t>LEONETTI</t>
  </si>
  <si>
    <t>05:04:37.20</t>
  </si>
  <si>
    <t>BALLERINI</t>
  </si>
  <si>
    <t>05:04:41.50</t>
  </si>
  <si>
    <t>LIMARZI</t>
  </si>
  <si>
    <t>05:04:44.10</t>
  </si>
  <si>
    <t>TREOSSI</t>
  </si>
  <si>
    <t>CRAL ENRICO MATTEI</t>
  </si>
  <si>
    <t>05:04:45.30</t>
  </si>
  <si>
    <t>05:04:52.40</t>
  </si>
  <si>
    <t>TRINELLI</t>
  </si>
  <si>
    <t>05:04:55.00</t>
  </si>
  <si>
    <t>GANDINI</t>
  </si>
  <si>
    <t>05:04:56.00</t>
  </si>
  <si>
    <t>ALFIERI</t>
  </si>
  <si>
    <t>VENTUNO ZERO 55</t>
  </si>
  <si>
    <t>05:04:56.10</t>
  </si>
  <si>
    <t>05:04:57.10</t>
  </si>
  <si>
    <t>ZOLLO</t>
  </si>
  <si>
    <t>GS QUESTURA</t>
  </si>
  <si>
    <t>05:05:07.30</t>
  </si>
  <si>
    <t>TIBERTI</t>
  </si>
  <si>
    <t>GC COSTA DEL SOLE</t>
  </si>
  <si>
    <t>05:05:08.40</t>
  </si>
  <si>
    <t>05:05:09.80</t>
  </si>
  <si>
    <t>05:05:11.10</t>
  </si>
  <si>
    <t>VERCELLI</t>
  </si>
  <si>
    <t>05:05:13.30</t>
  </si>
  <si>
    <t>INCERTI</t>
  </si>
  <si>
    <t>05:05:17.20</t>
  </si>
  <si>
    <t>SARTORATO</t>
  </si>
  <si>
    <t>05:05:27.10</t>
  </si>
  <si>
    <t>TELLARINI</t>
  </si>
  <si>
    <t>05:05:31.00</t>
  </si>
  <si>
    <t>05:05:37.20</t>
  </si>
  <si>
    <t>BATTISTONI</t>
  </si>
  <si>
    <t>05:05:42.30</t>
  </si>
  <si>
    <t>OLIVETTO</t>
  </si>
  <si>
    <t>SOCIETA' CICLISTICA STROPPARI</t>
  </si>
  <si>
    <t>05:05:42.60</t>
  </si>
  <si>
    <t>MARCHESI</t>
  </si>
  <si>
    <t>05:05:43.70</t>
  </si>
  <si>
    <t>05:05:49.50</t>
  </si>
  <si>
    <t>GAREGNANI</t>
  </si>
  <si>
    <t>ADS GS GORGONZOLA MONTI</t>
  </si>
  <si>
    <t>05:05:50.10</t>
  </si>
  <si>
    <t>05:06:02.40</t>
  </si>
  <si>
    <t>SCIRGHI</t>
  </si>
  <si>
    <t>OLIVIERO</t>
  </si>
  <si>
    <t>PEDALE LENTO</t>
  </si>
  <si>
    <t>05:06:07.00</t>
  </si>
  <si>
    <t>OLIVER</t>
  </si>
  <si>
    <t>05:06:23.50</t>
  </si>
  <si>
    <t>MALPEZZI</t>
  </si>
  <si>
    <t>05:06:25.10</t>
  </si>
  <si>
    <t>LEPORAN</t>
  </si>
  <si>
    <t>05:06:46.10</t>
  </si>
  <si>
    <t>GLORIALANZA</t>
  </si>
  <si>
    <t>05:06:49.60</t>
  </si>
  <si>
    <t>05:06:50.10</t>
  </si>
  <si>
    <t>VOLTA</t>
  </si>
  <si>
    <t>05:06:58.10</t>
  </si>
  <si>
    <t>05:06:59.10</t>
  </si>
  <si>
    <t>PRIORE</t>
  </si>
  <si>
    <t>05:07:06.00</t>
  </si>
  <si>
    <t>LUCIANI</t>
  </si>
  <si>
    <t>GRUPPO SPORTIVO AMATORI FRENTANIA</t>
  </si>
  <si>
    <t>05:07:15.10</t>
  </si>
  <si>
    <t>GIACOMINI GASPERONI</t>
  </si>
  <si>
    <t>MORIS</t>
  </si>
  <si>
    <t>05:07:18.80</t>
  </si>
  <si>
    <t>GENOVESE</t>
  </si>
  <si>
    <t>05:07:20.60</t>
  </si>
  <si>
    <t>DELRY</t>
  </si>
  <si>
    <t>05:07:23.30</t>
  </si>
  <si>
    <t>UC ASOLO BIKE POGGIANA</t>
  </si>
  <si>
    <t>05:07:25.40</t>
  </si>
  <si>
    <t>05:07:29.10</t>
  </si>
  <si>
    <t>ZUFFA</t>
  </si>
  <si>
    <t>05:07:34.60</t>
  </si>
  <si>
    <t>ALTOMARE</t>
  </si>
  <si>
    <t>TRAGUARDO VOLANTE</t>
  </si>
  <si>
    <t>05:07:37.10</t>
  </si>
  <si>
    <t>CHIADO RANA</t>
  </si>
  <si>
    <t>05:07:38.30</t>
  </si>
  <si>
    <t>HOFFER</t>
  </si>
  <si>
    <t>05:07:40.80</t>
  </si>
  <si>
    <t>POMPA</t>
  </si>
  <si>
    <t>05:07:42.10</t>
  </si>
  <si>
    <t>SETTIMIO</t>
  </si>
  <si>
    <t>05:07:45.00</t>
  </si>
  <si>
    <t>05:07:46.60</t>
  </si>
  <si>
    <t>ASD LONGIANO  SPORT</t>
  </si>
  <si>
    <t>05:07:47.10</t>
  </si>
  <si>
    <t>SERTORI</t>
  </si>
  <si>
    <t>05:07:55.60</t>
  </si>
  <si>
    <t>FERRARINI</t>
  </si>
  <si>
    <t>05:08:00.10</t>
  </si>
  <si>
    <t>ZOETTI</t>
  </si>
  <si>
    <t>GS PEDALE CASTELNOVESE ROSA CARNI</t>
  </si>
  <si>
    <t>05:08:02.20</t>
  </si>
  <si>
    <t>SILVESTRIN</t>
  </si>
  <si>
    <t>05:08:03.30</t>
  </si>
  <si>
    <t>05:08:04.30</t>
  </si>
  <si>
    <t>PIATTI</t>
  </si>
  <si>
    <t>05:08:05.10</t>
  </si>
  <si>
    <t>BRACCI</t>
  </si>
  <si>
    <t>VELO BIKE MONTE FOGLIANO</t>
  </si>
  <si>
    <t>05:08:05.50</t>
  </si>
  <si>
    <t>TABANELLI</t>
  </si>
  <si>
    <t>05:08:06.00</t>
  </si>
  <si>
    <t>RUSTICHELLI</t>
  </si>
  <si>
    <t>05:08:10.50</t>
  </si>
  <si>
    <t>FRANCINI</t>
  </si>
  <si>
    <t>LA STRANA OFFICINA SQUADRA CORSE</t>
  </si>
  <si>
    <t>05:08:17.20</t>
  </si>
  <si>
    <t>CAMPAGNOLO</t>
  </si>
  <si>
    <t>FANS GRANDE CICLISMO</t>
  </si>
  <si>
    <t>05:08:23.60</t>
  </si>
  <si>
    <t>FONTANELLA</t>
  </si>
  <si>
    <t>05:08:32.40</t>
  </si>
  <si>
    <t>05:08:34.00</t>
  </si>
  <si>
    <t>DE MARCO</t>
  </si>
  <si>
    <t>CARLO ALESSANDRO</t>
  </si>
  <si>
    <t>05:08:38.50</t>
  </si>
  <si>
    <t>05:08:42.40</t>
  </si>
  <si>
    <t>MERVIG</t>
  </si>
  <si>
    <t>05:08:50.10</t>
  </si>
  <si>
    <t>RIZZI</t>
  </si>
  <si>
    <t>05:09:05.30</t>
  </si>
  <si>
    <t>CAVALLI</t>
  </si>
  <si>
    <t>POL.OTTICA FONTANESI</t>
  </si>
  <si>
    <t>05:09:10.20</t>
  </si>
  <si>
    <t>05:09:12.10</t>
  </si>
  <si>
    <t>MARCACCINI</t>
  </si>
  <si>
    <t>05:09:15.80</t>
  </si>
  <si>
    <t>TESORO</t>
  </si>
  <si>
    <t>05:09:25.50</t>
  </si>
  <si>
    <t>05:09:26.80</t>
  </si>
  <si>
    <t>SILVI</t>
  </si>
  <si>
    <t>05:09:28.70</t>
  </si>
  <si>
    <t>05:09:30.50</t>
  </si>
  <si>
    <t>CHIEPPA</t>
  </si>
  <si>
    <t>ASD SLOWTEAM</t>
  </si>
  <si>
    <t>05:09:31.20</t>
  </si>
  <si>
    <t>05:09:31.40</t>
  </si>
  <si>
    <t>GS 1 E PIZZA BIKE</t>
  </si>
  <si>
    <t>05:09:33.20</t>
  </si>
  <si>
    <t>PRO BIKE SANTA MARIA NUOVA BERTINORO</t>
  </si>
  <si>
    <t>05:09:34.90</t>
  </si>
  <si>
    <t>05:09:40.50</t>
  </si>
  <si>
    <t>PELOSO</t>
  </si>
  <si>
    <t>05:09:44.20</t>
  </si>
  <si>
    <t>CAMPANELLA</t>
  </si>
  <si>
    <t>05:09:53.20</t>
  </si>
  <si>
    <t>LAZZARO</t>
  </si>
  <si>
    <t>05:09:54.20</t>
  </si>
  <si>
    <t>MARSILETTI</t>
  </si>
  <si>
    <t>MERY</t>
  </si>
  <si>
    <t>05:09:55.10</t>
  </si>
  <si>
    <t>PELUZZI</t>
  </si>
  <si>
    <t>05:10:01.40</t>
  </si>
  <si>
    <t>MINARINI</t>
  </si>
  <si>
    <t>ROSSELLA</t>
  </si>
  <si>
    <t>05:10:03.70</t>
  </si>
  <si>
    <t>GAVINA</t>
  </si>
  <si>
    <t>05:10:08.40</t>
  </si>
  <si>
    <t>CAGLIARI</t>
  </si>
  <si>
    <t>TRAGUARDO VOLANTE RACING</t>
  </si>
  <si>
    <t>05:10:14.10</t>
  </si>
  <si>
    <t>MELLONI</t>
  </si>
  <si>
    <t>05:10:24.60</t>
  </si>
  <si>
    <t>BUSIGNANI</t>
  </si>
  <si>
    <t>05:10:28.80</t>
  </si>
  <si>
    <t>FINAZZI</t>
  </si>
  <si>
    <t>AVIS AIDO GRUMELLO</t>
  </si>
  <si>
    <t>05:10:29.00</t>
  </si>
  <si>
    <t>05:10:30.00</t>
  </si>
  <si>
    <t>05:10:31.10</t>
  </si>
  <si>
    <t>BIASIO</t>
  </si>
  <si>
    <t>GS GRANCICLISMO</t>
  </si>
  <si>
    <t>05:10:31.80</t>
  </si>
  <si>
    <t>05:10:35.50</t>
  </si>
  <si>
    <t>05:10:38.30</t>
  </si>
  <si>
    <t>05:10:49.80</t>
  </si>
  <si>
    <t>ROCCI</t>
  </si>
  <si>
    <t>GS SFERRA CAVALLO</t>
  </si>
  <si>
    <t>05:10:54.20</t>
  </si>
  <si>
    <t>CORNELLI</t>
  </si>
  <si>
    <t>ASD TEAM PIANETA BICI</t>
  </si>
  <si>
    <t>05:11:03.00</t>
  </si>
  <si>
    <t>BERGAMINI</t>
  </si>
  <si>
    <t>05:11:04.30</t>
  </si>
  <si>
    <t>MAISTO</t>
  </si>
  <si>
    <t>05:11:06.00</t>
  </si>
  <si>
    <t>GALOSI</t>
  </si>
  <si>
    <t>05:11:10.50</t>
  </si>
  <si>
    <t>LA VIOLA</t>
  </si>
  <si>
    <t>05:11:12.50</t>
  </si>
  <si>
    <t>MORETI</t>
  </si>
  <si>
    <t>05:11:13.10</t>
  </si>
  <si>
    <t>05:11:13.30</t>
  </si>
  <si>
    <t>MARCHIONI</t>
  </si>
  <si>
    <t>ATC CIRCOLO DOZZA</t>
  </si>
  <si>
    <t>05:11:14.70</t>
  </si>
  <si>
    <t>05:11:19.10</t>
  </si>
  <si>
    <t>BOLZANI</t>
  </si>
  <si>
    <t>ASD AREA FITNESS</t>
  </si>
  <si>
    <t>05:11:23.70</t>
  </si>
  <si>
    <t>PELLICCETTI</t>
  </si>
  <si>
    <t>05:11:24.00</t>
  </si>
  <si>
    <t>ROSSELLI</t>
  </si>
  <si>
    <t>05:11:26.00</t>
  </si>
  <si>
    <t>05:11:27.40</t>
  </si>
  <si>
    <t>POLISPORTIVA NEW WILD ROSE</t>
  </si>
  <si>
    <t>05:11:32.40</t>
  </si>
  <si>
    <t>SPUNTONI</t>
  </si>
  <si>
    <t>ORESTE</t>
  </si>
  <si>
    <t>RUNNING BIKE</t>
  </si>
  <si>
    <t>05:11:35.20</t>
  </si>
  <si>
    <t>RUNNER BIKE</t>
  </si>
  <si>
    <t>05:11:36.20</t>
  </si>
  <si>
    <t>LORENZA</t>
  </si>
  <si>
    <t>05:11:37.40</t>
  </si>
  <si>
    <t>05:11:37.50</t>
  </si>
  <si>
    <t>NUNZIATINI</t>
  </si>
  <si>
    <t>05:11:38.70</t>
  </si>
  <si>
    <t>05:11:39.30</t>
  </si>
  <si>
    <t>MALAVASI</t>
  </si>
  <si>
    <t>PHONIX RACING TEAM FERRARA</t>
  </si>
  <si>
    <t>05:11:39.40</t>
  </si>
  <si>
    <t>PAOLONI</t>
  </si>
  <si>
    <t>05:11:39.80</t>
  </si>
  <si>
    <t>ISMA</t>
  </si>
  <si>
    <t>FREE SPORT FIEMME &amp; FASSA</t>
  </si>
  <si>
    <t>05:11:41.00</t>
  </si>
  <si>
    <t>SIENI</t>
  </si>
  <si>
    <t>TUTTO BICI TEAM</t>
  </si>
  <si>
    <t>05:11:48.70</t>
  </si>
  <si>
    <t>TORELLI</t>
  </si>
  <si>
    <t>05:11:55.70</t>
  </si>
  <si>
    <t>05:11:57.60</t>
  </si>
  <si>
    <t>MONTEFIORI</t>
  </si>
  <si>
    <t>05:12:01.10</t>
  </si>
  <si>
    <t>GRAZIANI</t>
  </si>
  <si>
    <t>05:12:04.00</t>
  </si>
  <si>
    <t>MUSCIONI</t>
  </si>
  <si>
    <t>GS MONTEFELTRO</t>
  </si>
  <si>
    <t>05:12:05.70</t>
  </si>
  <si>
    <t>VICINO</t>
  </si>
  <si>
    <t>05:12:08.30</t>
  </si>
  <si>
    <t>PAGANIN</t>
  </si>
  <si>
    <t>05:12:12.20</t>
  </si>
  <si>
    <t>05:12:18.20</t>
  </si>
  <si>
    <t>BORTOLONI</t>
  </si>
  <si>
    <t>EXTREME BIKE</t>
  </si>
  <si>
    <t>05:12:19.00</t>
  </si>
  <si>
    <t>MESTIERI</t>
  </si>
  <si>
    <t>05:12:23.20</t>
  </si>
  <si>
    <t>GS ASS.PESARO VETRO</t>
  </si>
  <si>
    <t>05:12:28.50</t>
  </si>
  <si>
    <t>05:12:29.50</t>
  </si>
  <si>
    <t>05:12:38.70</t>
  </si>
  <si>
    <t>VEROLA</t>
  </si>
  <si>
    <t>05:12:43.60</t>
  </si>
  <si>
    <t>BABINI</t>
  </si>
  <si>
    <t>05:12:44.10</t>
  </si>
  <si>
    <t>GOZZI</t>
  </si>
  <si>
    <t>05:12:46.10</t>
  </si>
  <si>
    <t>MINGOTTI</t>
  </si>
  <si>
    <t>05:12:48.90</t>
  </si>
  <si>
    <t>GRIS</t>
  </si>
  <si>
    <t>UC QUARTO D'ALTINO</t>
  </si>
  <si>
    <t>05:12:50.70</t>
  </si>
  <si>
    <t>BOCCHERINI</t>
  </si>
  <si>
    <t>TEAM PRO BIKE</t>
  </si>
  <si>
    <t>05:12:54.00</t>
  </si>
  <si>
    <t>ASD FLAM ILLUMINAZIONE</t>
  </si>
  <si>
    <t>05:12:55.20</t>
  </si>
  <si>
    <t>SENTINELLI</t>
  </si>
  <si>
    <t>05:13:01.40</t>
  </si>
  <si>
    <t>GIOVANNETTI</t>
  </si>
  <si>
    <t>GIANROBERTO</t>
  </si>
  <si>
    <t>05:13:06.30</t>
  </si>
  <si>
    <t>05:13:08.70</t>
  </si>
  <si>
    <t>GAROIA</t>
  </si>
  <si>
    <t>05:13:11.10</t>
  </si>
  <si>
    <t>05:13:15.20</t>
  </si>
  <si>
    <t>FABBIAN</t>
  </si>
  <si>
    <t>TAMARA</t>
  </si>
  <si>
    <t>05:13:17.40</t>
  </si>
  <si>
    <t>COMINELLI</t>
  </si>
  <si>
    <t>05:13:23.10</t>
  </si>
  <si>
    <t>GIRARDI</t>
  </si>
  <si>
    <t>05:13:26.00</t>
  </si>
  <si>
    <t>ZANCONATO</t>
  </si>
  <si>
    <t>05:13:26.70</t>
  </si>
  <si>
    <t>VASSALINI</t>
  </si>
  <si>
    <t>MOSE'</t>
  </si>
  <si>
    <t>ASD CICLI MATATEAM</t>
  </si>
  <si>
    <t>05:13:31.30</t>
  </si>
  <si>
    <t>BILANCIONI</t>
  </si>
  <si>
    <t>TEAM RENOFIN</t>
  </si>
  <si>
    <t>05:13:31.60</t>
  </si>
  <si>
    <t>ORLANDO</t>
  </si>
  <si>
    <t>ASD FORNASARI AUTO</t>
  </si>
  <si>
    <t>05:13:35.00</t>
  </si>
  <si>
    <t>05:13:35.10</t>
  </si>
  <si>
    <t>FIINI</t>
  </si>
  <si>
    <t>05:13:40.20</t>
  </si>
  <si>
    <t>05:13:42.20</t>
  </si>
  <si>
    <t>05:13:48.50</t>
  </si>
  <si>
    <t>GUGLIELMI  MAES</t>
  </si>
  <si>
    <t>MAURICIO</t>
  </si>
  <si>
    <t>CLUB FLLI PETIT</t>
  </si>
  <si>
    <t>05:14:01.10</t>
  </si>
  <si>
    <t>RAINOLTER</t>
  </si>
  <si>
    <t>05:14:11.10</t>
  </si>
  <si>
    <t>NANETTI</t>
  </si>
  <si>
    <t>BIASIOLO</t>
  </si>
  <si>
    <t>05:14:18.30</t>
  </si>
  <si>
    <t>TAMANTINI</t>
  </si>
  <si>
    <t>SETTE COLLI</t>
  </si>
  <si>
    <t>05:14:20.40</t>
  </si>
  <si>
    <t>AVIS VERAG PRATO</t>
  </si>
  <si>
    <t>05:14:21.20</t>
  </si>
  <si>
    <t>05:14:36.30</t>
  </si>
  <si>
    <t>CORBELLI</t>
  </si>
  <si>
    <t>CICLI FONTANA DOMEGLIARA</t>
  </si>
  <si>
    <t>05:14:39.60</t>
  </si>
  <si>
    <t>CREPAZ</t>
  </si>
  <si>
    <t>GS PRIMIERO</t>
  </si>
  <si>
    <t>05:14:43.10</t>
  </si>
  <si>
    <t>MERLANTI</t>
  </si>
  <si>
    <t>05:14:45.20</t>
  </si>
  <si>
    <t>NARDI</t>
  </si>
  <si>
    <t>GRUPPO CICLISTICO POVEGLIANO</t>
  </si>
  <si>
    <t>05:14:45.30</t>
  </si>
  <si>
    <t>CATTANEO</t>
  </si>
  <si>
    <t>05:14:46.80</t>
  </si>
  <si>
    <t>05:14:50.20</t>
  </si>
  <si>
    <t>SOCIETA' CICLISTICA MIONETTO VALDOBBIADENE</t>
  </si>
  <si>
    <t>05:14:50.30</t>
  </si>
  <si>
    <t>BERTINELLI</t>
  </si>
  <si>
    <t>HOT BIKE TEAM</t>
  </si>
  <si>
    <t>05:14:55.10</t>
  </si>
  <si>
    <t>CASELLI</t>
  </si>
  <si>
    <t>SPRINTBIKE ASD</t>
  </si>
  <si>
    <t>05:14:56.10</t>
  </si>
  <si>
    <t>BORGIOLI</t>
  </si>
  <si>
    <t>05:14:56.50</t>
  </si>
  <si>
    <t>05:14:57.10</t>
  </si>
  <si>
    <t>MANZI</t>
  </si>
  <si>
    <t>05:14:59.20</t>
  </si>
  <si>
    <t>05:15:02.40</t>
  </si>
  <si>
    <t>PASTRO</t>
  </si>
  <si>
    <t>05:15:03.10</t>
  </si>
  <si>
    <t>GIOVANELLI</t>
  </si>
  <si>
    <t>05:15:05.20</t>
  </si>
  <si>
    <t>CERIANI</t>
  </si>
  <si>
    <t>SC PRASECCO - MESTRE</t>
  </si>
  <si>
    <t>05:15:07.70</t>
  </si>
  <si>
    <t>PERAZ</t>
  </si>
  <si>
    <t>05:15:15.50</t>
  </si>
  <si>
    <t>BRAVIN</t>
  </si>
  <si>
    <t>05:15:18.10</t>
  </si>
  <si>
    <t>BIRTELE</t>
  </si>
  <si>
    <t>05:15:21.10</t>
  </si>
  <si>
    <t>FAVARO</t>
  </si>
  <si>
    <t>05:15:26.40</t>
  </si>
  <si>
    <t>GC MUTUO SOCCORSO</t>
  </si>
  <si>
    <t>05:15:27.50</t>
  </si>
  <si>
    <t>BODOV</t>
  </si>
  <si>
    <t>SHARAR</t>
  </si>
  <si>
    <t>05:15:32.20</t>
  </si>
  <si>
    <t>SALNIKYU</t>
  </si>
  <si>
    <t>SHAI</t>
  </si>
  <si>
    <t>05:15:35.40</t>
  </si>
  <si>
    <t>INGARGIOLA</t>
  </si>
  <si>
    <t>ENRICA</t>
  </si>
  <si>
    <t>AS LA ROTTA</t>
  </si>
  <si>
    <t>05:15:44.30</t>
  </si>
  <si>
    <t>TONZAR</t>
  </si>
  <si>
    <t>AS RONCHI CICLISMO</t>
  </si>
  <si>
    <t>05:15:45.20</t>
  </si>
  <si>
    <t>BAMBAGIONI</t>
  </si>
  <si>
    <t>05:15:49.40</t>
  </si>
  <si>
    <t>DEL GRANDE</t>
  </si>
  <si>
    <t>05:15:49.90</t>
  </si>
  <si>
    <t>CENACCHI</t>
  </si>
  <si>
    <t>05:16:01.30</t>
  </si>
  <si>
    <t>TEAM HROBERT</t>
  </si>
  <si>
    <t>05:16:02.30</t>
  </si>
  <si>
    <t>05:16:03.40</t>
  </si>
  <si>
    <t>BULLI</t>
  </si>
  <si>
    <t>05:16:04.20</t>
  </si>
  <si>
    <t>CIURNELLA</t>
  </si>
  <si>
    <t>05:16:04.40</t>
  </si>
  <si>
    <t>PLATTER</t>
  </si>
  <si>
    <t>GIACOMON</t>
  </si>
  <si>
    <t>VELO CLUB PIANA</t>
  </si>
  <si>
    <t>05:16:05.20</t>
  </si>
  <si>
    <t>05:16:06.80</t>
  </si>
  <si>
    <t>MORANDI</t>
  </si>
  <si>
    <t>05:16:07.10</t>
  </si>
  <si>
    <t>05:16:07.80</t>
  </si>
  <si>
    <t>ZORDAN</t>
  </si>
  <si>
    <t>05:16:08.30</t>
  </si>
  <si>
    <t>ZUCCHIOTTI</t>
  </si>
  <si>
    <t>05:16:08.80</t>
  </si>
  <si>
    <t>BRUNI</t>
  </si>
  <si>
    <t>VC  MONSUMMANESE</t>
  </si>
  <si>
    <t>05:16:11.10</t>
  </si>
  <si>
    <t>05:16:11.20</t>
  </si>
  <si>
    <t>VILLARI</t>
  </si>
  <si>
    <t>05:16:13.10</t>
  </si>
  <si>
    <t>VERTER</t>
  </si>
  <si>
    <t>ASD MONTALETTO</t>
  </si>
  <si>
    <t>05:16:15.40</t>
  </si>
  <si>
    <t>MASON</t>
  </si>
  <si>
    <t>05:16:16.60</t>
  </si>
  <si>
    <t>MIGLIORANZA</t>
  </si>
  <si>
    <t>05:16:17.60</t>
  </si>
  <si>
    <t>ALBI</t>
  </si>
  <si>
    <t>05:16:21.10</t>
  </si>
  <si>
    <t>MENGO</t>
  </si>
  <si>
    <t>FURLAN</t>
  </si>
  <si>
    <t>05:16:26.10</t>
  </si>
  <si>
    <t>05:16:31.40</t>
  </si>
  <si>
    <t>05:16:32.20</t>
  </si>
  <si>
    <t>TERRACINA</t>
  </si>
  <si>
    <t>05:16:33.20</t>
  </si>
  <si>
    <t>05:16:34.20</t>
  </si>
  <si>
    <t>DIMITRI</t>
  </si>
  <si>
    <t>05:16:35.20</t>
  </si>
  <si>
    <t>05:16:37.50</t>
  </si>
  <si>
    <t>UC SPORTIVA VIRTUS ELETTRA</t>
  </si>
  <si>
    <t>05:16:42.20</t>
  </si>
  <si>
    <t>05:16:42.70</t>
  </si>
  <si>
    <t>IACAZ</t>
  </si>
  <si>
    <t>05:16:44.10</t>
  </si>
  <si>
    <t>TADDEO</t>
  </si>
  <si>
    <t>CICLO CLUB CRISPIANO</t>
  </si>
  <si>
    <t>05:16:47.60</t>
  </si>
  <si>
    <t>05:16:48.10</t>
  </si>
  <si>
    <t>AMANZIO</t>
  </si>
  <si>
    <t>05:16:49.10</t>
  </si>
  <si>
    <t>05:16:50.50</t>
  </si>
  <si>
    <t>GUIDICELLI</t>
  </si>
  <si>
    <t>05:17:05.80</t>
  </si>
  <si>
    <t>VEGETTI</t>
  </si>
  <si>
    <t>05:17:08.70</t>
  </si>
  <si>
    <t>PARENTI</t>
  </si>
  <si>
    <t>GS LELLI BIKE ASD</t>
  </si>
  <si>
    <t>05:17:12.20</t>
  </si>
  <si>
    <t>ZAGANELLI</t>
  </si>
  <si>
    <t>05:17:13.00</t>
  </si>
  <si>
    <t>05:17:14.10</t>
  </si>
  <si>
    <t>05:17:16.30</t>
  </si>
  <si>
    <t>MORENI</t>
  </si>
  <si>
    <t>ROSARIO</t>
  </si>
  <si>
    <t>05:17:23.10</t>
  </si>
  <si>
    <t>MACCAFERRI</t>
  </si>
  <si>
    <t>05:17:23.40</t>
  </si>
  <si>
    <t>05:17:25.10</t>
  </si>
  <si>
    <t>VALORI</t>
  </si>
  <si>
    <t>05:17:26.20</t>
  </si>
  <si>
    <t>RICCI MACCARINI</t>
  </si>
  <si>
    <t>05:17:30.30</t>
  </si>
  <si>
    <t>SCUDERONI</t>
  </si>
  <si>
    <t>PAVEL</t>
  </si>
  <si>
    <t>05:17:40.20</t>
  </si>
  <si>
    <t>ZANGOLI</t>
  </si>
  <si>
    <t>05:17:49.80</t>
  </si>
  <si>
    <t>GIMIGNANI</t>
  </si>
  <si>
    <t>ASD TEAM PRO BIKE</t>
  </si>
  <si>
    <t>05:17:52.30</t>
  </si>
  <si>
    <t>BOCCOLINI</t>
  </si>
  <si>
    <t>05:17:54.20</t>
  </si>
  <si>
    <t>05:17:56.30</t>
  </si>
  <si>
    <t>PANZERI</t>
  </si>
  <si>
    <t>05:18:14.30</t>
  </si>
  <si>
    <t>GLANZER</t>
  </si>
  <si>
    <t>05:18:18.20</t>
  </si>
  <si>
    <t>05:18:23.80</t>
  </si>
  <si>
    <t>GARGANTINI</t>
  </si>
  <si>
    <t>05:18:24.60</t>
  </si>
  <si>
    <t>PECORA</t>
  </si>
  <si>
    <t>GS EQUIPE 96 DEL PINEROLESE</t>
  </si>
  <si>
    <t>05:18:28.70</t>
  </si>
  <si>
    <t>DALL' AGLIO</t>
  </si>
  <si>
    <t>05:18:31.30</t>
  </si>
  <si>
    <t>05:18:31.80</t>
  </si>
  <si>
    <t>TEAM CINELLI GLSS'NGO</t>
  </si>
  <si>
    <t>05:18:42.70</t>
  </si>
  <si>
    <t>VITARELLI</t>
  </si>
  <si>
    <t>05:18:47.70</t>
  </si>
  <si>
    <t>05:18:50.40</t>
  </si>
  <si>
    <t>DE VECCHI</t>
  </si>
  <si>
    <t>GC TEAM ZOLDO</t>
  </si>
  <si>
    <t>05:18:54.50</t>
  </si>
  <si>
    <t>FORASTIERI</t>
  </si>
  <si>
    <t>05:19:03.50</t>
  </si>
  <si>
    <t>TEAM GRANZON</t>
  </si>
  <si>
    <t>05:19:07.70</t>
  </si>
  <si>
    <t>05:19:21.10</t>
  </si>
  <si>
    <t>PITTARELLO</t>
  </si>
  <si>
    <t>05:19:21.80</t>
  </si>
  <si>
    <t>DESIDERI</t>
  </si>
  <si>
    <t>05:19:22.60</t>
  </si>
  <si>
    <t>MODESTO</t>
  </si>
  <si>
    <t>ALCIDE</t>
  </si>
  <si>
    <t>05:19:22.70</t>
  </si>
  <si>
    <t>VIGGIANI</t>
  </si>
  <si>
    <t>05:19:24.70</t>
  </si>
  <si>
    <t>RACING TEAM LA BICI</t>
  </si>
  <si>
    <t>05:19:31.50</t>
  </si>
  <si>
    <t>BENATO</t>
  </si>
  <si>
    <t>05:19:37.40</t>
  </si>
  <si>
    <t>VENERE</t>
  </si>
  <si>
    <t>05:19:40.50</t>
  </si>
  <si>
    <t>VIGLIOTTI</t>
  </si>
  <si>
    <t>05:19:41.60</t>
  </si>
  <si>
    <t>CICLO CLUB VOLTA</t>
  </si>
  <si>
    <t>05:19:41.80</t>
  </si>
  <si>
    <t>VERONESE</t>
  </si>
  <si>
    <t>05:19:45.30</t>
  </si>
  <si>
    <t>05:19:51.10</t>
  </si>
  <si>
    <t>MILANDRI</t>
  </si>
  <si>
    <t>05:19:54.80</t>
  </si>
  <si>
    <t>ABALLO</t>
  </si>
  <si>
    <t>05:19:57.10</t>
  </si>
  <si>
    <t>LICHERI</t>
  </si>
  <si>
    <t>05:19:59.30</t>
  </si>
  <si>
    <t>GATTEI</t>
  </si>
  <si>
    <t>05:20:01.30</t>
  </si>
  <si>
    <t>PERLETTI</t>
  </si>
  <si>
    <t>ASDS CICLI BENEDETTI</t>
  </si>
  <si>
    <t>05:20:06.20</t>
  </si>
  <si>
    <t>GIANASI</t>
  </si>
  <si>
    <t>05:20:07.50</t>
  </si>
  <si>
    <t>05:20:32.10</t>
  </si>
  <si>
    <t>SANTORI</t>
  </si>
  <si>
    <t>05:20:34.60</t>
  </si>
  <si>
    <t>GRASSONI</t>
  </si>
  <si>
    <t>05:20:35.40</t>
  </si>
  <si>
    <t>PLEBANI</t>
  </si>
  <si>
    <t>ASD POL.HYPPODROM 99</t>
  </si>
  <si>
    <t>05:20:36.00</t>
  </si>
  <si>
    <t>05:20:36.70</t>
  </si>
  <si>
    <t>NIVES</t>
  </si>
  <si>
    <t>05:20:42.60</t>
  </si>
  <si>
    <t>DALPRATO</t>
  </si>
  <si>
    <t>05:20:43.20</t>
  </si>
  <si>
    <t>VEZZOLI</t>
  </si>
  <si>
    <t>05:20:58.60</t>
  </si>
  <si>
    <t>MARIN</t>
  </si>
  <si>
    <t>05:21:00.50</t>
  </si>
  <si>
    <t>MONTRASIO</t>
  </si>
  <si>
    <t>GS MEDESE MEDAMOBILI CENTROST</t>
  </si>
  <si>
    <t>05:21:15.70</t>
  </si>
  <si>
    <t>LEGGIERI</t>
  </si>
  <si>
    <t>GS CICLISTICA VIACCIA</t>
  </si>
  <si>
    <t>05:21:16.60</t>
  </si>
  <si>
    <t>MEGGIATO</t>
  </si>
  <si>
    <t>GC ASSEGGIANO</t>
  </si>
  <si>
    <t>05:21:17.00</t>
  </si>
  <si>
    <t>05:21:18.30</t>
  </si>
  <si>
    <t>05:21:20.10</t>
  </si>
  <si>
    <t>05:21:23.80</t>
  </si>
  <si>
    <t>SEROLDI</t>
  </si>
  <si>
    <t>05:21:25.50</t>
  </si>
  <si>
    <t>PERAZZINI</t>
  </si>
  <si>
    <t>05:21:31.20</t>
  </si>
  <si>
    <t>BAGGIO</t>
  </si>
  <si>
    <t>WILIER TRIESTINA</t>
  </si>
  <si>
    <t>05:21:34.80</t>
  </si>
  <si>
    <t>SAMMARINI</t>
  </si>
  <si>
    <t>05:21:40.60</t>
  </si>
  <si>
    <t>05:21:44.70</t>
  </si>
  <si>
    <t>CAMPELLO</t>
  </si>
  <si>
    <t>05:21:47.60</t>
  </si>
  <si>
    <t>AMEDEO</t>
  </si>
  <si>
    <t>05:21:50.10</t>
  </si>
  <si>
    <t>RIDOLFI</t>
  </si>
  <si>
    <t>05:21:55.10</t>
  </si>
  <si>
    <t>BIZZI</t>
  </si>
  <si>
    <t>05:21:59.10</t>
  </si>
  <si>
    <t>BALICE</t>
  </si>
  <si>
    <t>UISP PRATO</t>
  </si>
  <si>
    <t>05:22:04.70</t>
  </si>
  <si>
    <t>SIMIONATO</t>
  </si>
  <si>
    <t>05:22:07.60</t>
  </si>
  <si>
    <t>PERONI</t>
  </si>
  <si>
    <t>SAURO</t>
  </si>
  <si>
    <t>05:22:21.90</t>
  </si>
  <si>
    <t>05:22:24.40</t>
  </si>
  <si>
    <t>DAL BEN</t>
  </si>
  <si>
    <t>05:22:25.20</t>
  </si>
  <si>
    <t>RASPANZI</t>
  </si>
  <si>
    <t>05:22:33.80</t>
  </si>
  <si>
    <t>PIERELLA</t>
  </si>
  <si>
    <t>05:22:45.40</t>
  </si>
  <si>
    <t>RAZZI</t>
  </si>
  <si>
    <t>05:22:51.40</t>
  </si>
  <si>
    <t>BORSATO</t>
  </si>
  <si>
    <t>05:22:57.30</t>
  </si>
  <si>
    <t>VC 5 TORRI - OSIMO</t>
  </si>
  <si>
    <t>05:22:57.60</t>
  </si>
  <si>
    <t>MAZZERO</t>
  </si>
  <si>
    <t>05:22:58.30</t>
  </si>
  <si>
    <t>BARBUGLI</t>
  </si>
  <si>
    <t>ASD BERIK TEAM</t>
  </si>
  <si>
    <t>05:22:58.60</t>
  </si>
  <si>
    <t>CARASSALE</t>
  </si>
  <si>
    <t>05:23:00.30</t>
  </si>
  <si>
    <t>05:23:00.60</t>
  </si>
  <si>
    <t>05:23:01.10</t>
  </si>
  <si>
    <t>BERLATO</t>
  </si>
  <si>
    <t>05:23:01.50</t>
  </si>
  <si>
    <t>05:23:02.10</t>
  </si>
  <si>
    <t>ALOTTO</t>
  </si>
  <si>
    <t>05:23:06.00</t>
  </si>
  <si>
    <t>GAMBONE</t>
  </si>
  <si>
    <t>05:23:07.10</t>
  </si>
  <si>
    <t>GOZZINI</t>
  </si>
  <si>
    <t>05:23:09.00</t>
  </si>
  <si>
    <t>BRENNA</t>
  </si>
  <si>
    <t>05:23:09.60</t>
  </si>
  <si>
    <t>VILIANI</t>
  </si>
  <si>
    <t>05:23:12.20</t>
  </si>
  <si>
    <t>05:23:20.70</t>
  </si>
  <si>
    <t>RAVARELLI</t>
  </si>
  <si>
    <t>05:23:24.20</t>
  </si>
  <si>
    <t>MAMPIERI</t>
  </si>
  <si>
    <t>GC LUCA PINARELLO</t>
  </si>
  <si>
    <t>05:23:25.10</t>
  </si>
  <si>
    <t>FRUSCOLONI</t>
  </si>
  <si>
    <t>05:23:27.00</t>
  </si>
  <si>
    <t>SC GLAUCO SERVADEI</t>
  </si>
  <si>
    <t>05:23:27.30</t>
  </si>
  <si>
    <t>05:23:33.20</t>
  </si>
  <si>
    <t>BETTOLI</t>
  </si>
  <si>
    <t>05:23:39.10</t>
  </si>
  <si>
    <t>DAISSE'</t>
  </si>
  <si>
    <t>EMMA</t>
  </si>
  <si>
    <t>05:23:40.20</t>
  </si>
  <si>
    <t>05:23:41.00</t>
  </si>
  <si>
    <t>05:23:42.70</t>
  </si>
  <si>
    <t>CAPEZZERA</t>
  </si>
  <si>
    <t>05:23:43.40</t>
  </si>
  <si>
    <t>FACCHINETTI</t>
  </si>
  <si>
    <t>05:23:45.40</t>
  </si>
  <si>
    <t>GC ARONESE</t>
  </si>
  <si>
    <t>05:23:56.10</t>
  </si>
  <si>
    <t>DIACO</t>
  </si>
  <si>
    <t>05:24:02.10</t>
  </si>
  <si>
    <t>05:24:04.20</t>
  </si>
  <si>
    <t>RAGNI</t>
  </si>
  <si>
    <t>ANNA</t>
  </si>
  <si>
    <t>05:24:06.70</t>
  </si>
  <si>
    <t>BERTACCI</t>
  </si>
  <si>
    <t>05:24:18.00</t>
  </si>
  <si>
    <t>05:24:19.50</t>
  </si>
  <si>
    <t>05:24:20.10</t>
  </si>
  <si>
    <t>MARANCA</t>
  </si>
  <si>
    <t>POLISPORTIVA BOSCHETTO</t>
  </si>
  <si>
    <t>05:24:23.10</t>
  </si>
  <si>
    <t>CAMPOROTA</t>
  </si>
  <si>
    <t>05:24:50.30</t>
  </si>
  <si>
    <t>GC TEAM MOKASIRS CICLI ZAMAI GABRY</t>
  </si>
  <si>
    <t>05:24:52.40</t>
  </si>
  <si>
    <t>05:25:13.10</t>
  </si>
  <si>
    <t>SERGIACOMI</t>
  </si>
  <si>
    <t>05:25:15.50</t>
  </si>
  <si>
    <t>TONI</t>
  </si>
  <si>
    <t>UC LA TORRE 1949</t>
  </si>
  <si>
    <t>05:25:17.50</t>
  </si>
  <si>
    <t>OLTOLINI</t>
  </si>
  <si>
    <t>PASSOLENTO ROVELLASCA</t>
  </si>
  <si>
    <t>05:25:25.60</t>
  </si>
  <si>
    <t>05:25:36.50</t>
  </si>
  <si>
    <t>05:25:38.70</t>
  </si>
  <si>
    <t>LAPPONI</t>
  </si>
  <si>
    <t>05:25:39.10</t>
  </si>
  <si>
    <t>MARTINETTI</t>
  </si>
  <si>
    <t>05:25:41.10</t>
  </si>
  <si>
    <t>MARTUCCI</t>
  </si>
  <si>
    <t>05:25:49.30</t>
  </si>
  <si>
    <t>05:25:49.50</t>
  </si>
  <si>
    <t>PISTOLESI</t>
  </si>
  <si>
    <t>05:25:56.10</t>
  </si>
  <si>
    <t>GOLFRE' ANDREASI</t>
  </si>
  <si>
    <t>05:25:58.30</t>
  </si>
  <si>
    <t>TUCI</t>
  </si>
  <si>
    <t>05:26:01.40</t>
  </si>
  <si>
    <t>RABITI</t>
  </si>
  <si>
    <t>05:26:19.40</t>
  </si>
  <si>
    <t>SALVI</t>
  </si>
  <si>
    <t xml:space="preserve"> CICLI PIAZZALUNGA</t>
  </si>
  <si>
    <t>05:26:22.20</t>
  </si>
  <si>
    <t>05:26:24.40</t>
  </si>
  <si>
    <t>MALTONI</t>
  </si>
  <si>
    <t>ALFIO TANI</t>
  </si>
  <si>
    <t>05:26:29.90</t>
  </si>
  <si>
    <t>BONAVERI</t>
  </si>
  <si>
    <t>05:26:35.00</t>
  </si>
  <si>
    <t>ZUCCHIATTI</t>
  </si>
  <si>
    <t>ANTILIA TEAM 99</t>
  </si>
  <si>
    <t>05:26:44.10</t>
  </si>
  <si>
    <t>05:26:47.20</t>
  </si>
  <si>
    <t>CHERUBINI</t>
  </si>
  <si>
    <t>05:26:56.10</t>
  </si>
  <si>
    <t>TROVATO</t>
  </si>
  <si>
    <t>05:27:07.50</t>
  </si>
  <si>
    <t>PESENTI</t>
  </si>
  <si>
    <t>GS CRAL POSTE BERGAMO</t>
  </si>
  <si>
    <t>05:27:13.10</t>
  </si>
  <si>
    <t>FRIGGERI</t>
  </si>
  <si>
    <t>GS VVFF CASADIO - RAVENNA</t>
  </si>
  <si>
    <t>03:31:22.20</t>
  </si>
  <si>
    <t>03:31:22.30</t>
  </si>
  <si>
    <t>DE NICOLO'</t>
  </si>
  <si>
    <t>03:31:23.10</t>
  </si>
  <si>
    <t>03:31:27.20</t>
  </si>
  <si>
    <t>CAVALLINO TENTICICLISMO</t>
  </si>
  <si>
    <t>03:31:30.40</t>
  </si>
  <si>
    <t>SPIN BIKE PESARO</t>
  </si>
  <si>
    <t>03:31:41.00</t>
  </si>
  <si>
    <t>RENSI</t>
  </si>
  <si>
    <t>TEAM PASSION BIKE</t>
  </si>
  <si>
    <t>03:31:41.50</t>
  </si>
  <si>
    <t>CASADEI</t>
  </si>
  <si>
    <t>ASD BICI BUDRIO</t>
  </si>
  <si>
    <t>03:31:44.30</t>
  </si>
  <si>
    <t>PANFIGLIO</t>
  </si>
  <si>
    <t>TEAM  AQUILOTTI</t>
  </si>
  <si>
    <t>03:31:45.40</t>
  </si>
  <si>
    <t>BIGNONE</t>
  </si>
  <si>
    <t>ANGELO</t>
  </si>
  <si>
    <t>ASD CICLI GAMBA</t>
  </si>
  <si>
    <t>03:31:47.30</t>
  </si>
  <si>
    <t>03:31:53.30</t>
  </si>
  <si>
    <t>ROTTI</t>
  </si>
  <si>
    <t>03:31:55.60</t>
  </si>
  <si>
    <t>PIERSANTI</t>
  </si>
  <si>
    <t>EUGENIO</t>
  </si>
  <si>
    <t>03:32:01.80</t>
  </si>
  <si>
    <t>VUJOVIC</t>
  </si>
  <si>
    <t>NIKOLA</t>
  </si>
  <si>
    <t>03:32:02.30</t>
  </si>
  <si>
    <t>BENITO</t>
  </si>
  <si>
    <t>03:32:07.00</t>
  </si>
  <si>
    <t>CEVOLI</t>
  </si>
  <si>
    <t>03:32:10.60</t>
  </si>
  <si>
    <t>BAIOCCHI</t>
  </si>
  <si>
    <t>03:32:11.30</t>
  </si>
  <si>
    <t>GALLIMBERTI</t>
  </si>
  <si>
    <t>PETER</t>
  </si>
  <si>
    <t>03:32:15.40</t>
  </si>
  <si>
    <t>ZENNARO</t>
  </si>
  <si>
    <t>03:32:21.10</t>
  </si>
  <si>
    <t>BIOLO</t>
  </si>
  <si>
    <t>CGC SAN BERNARDINO</t>
  </si>
  <si>
    <t>03:32:25.00</t>
  </si>
  <si>
    <t>CHITTI</t>
  </si>
  <si>
    <t>MULAZZANO</t>
  </si>
  <si>
    <t>03:32:26.50</t>
  </si>
  <si>
    <t>MEGLIOLI</t>
  </si>
  <si>
    <t>03:32:27.10</t>
  </si>
  <si>
    <t>NIGRINI</t>
  </si>
  <si>
    <t>ANGELITA</t>
  </si>
  <si>
    <t>03:32:27.40</t>
  </si>
  <si>
    <t>OTTOLINI</t>
  </si>
  <si>
    <t>TEAM BIKING</t>
  </si>
  <si>
    <t>03:32:28.30</t>
  </si>
  <si>
    <t>MONI</t>
  </si>
  <si>
    <t>NATALE</t>
  </si>
  <si>
    <t>03:32:28.80</t>
  </si>
  <si>
    <t>BUZZI</t>
  </si>
  <si>
    <t>SOCIETA' CICLISTICA APRILIA</t>
  </si>
  <si>
    <t>03:32:31.00</t>
  </si>
  <si>
    <t>GHERMANDI</t>
  </si>
  <si>
    <t>03:32:33.00</t>
  </si>
  <si>
    <t>PEZZOLA</t>
  </si>
  <si>
    <t>GS DUE RUOTE - AREZZO</t>
  </si>
  <si>
    <t>03:32:36.10</t>
  </si>
  <si>
    <t>AMADORI</t>
  </si>
  <si>
    <t>VINICIO</t>
  </si>
  <si>
    <t>03:32:37.40</t>
  </si>
  <si>
    <t>MARCHELLO</t>
  </si>
  <si>
    <t>TARTARUGA</t>
  </si>
  <si>
    <t>03:32:43.80</t>
  </si>
  <si>
    <t>VINCENZI</t>
  </si>
  <si>
    <t>03:32:44.20</t>
  </si>
  <si>
    <t>DEGLIANGELI</t>
  </si>
  <si>
    <t>TEAM BOOMERANG</t>
  </si>
  <si>
    <t>03:32:48.10</t>
  </si>
  <si>
    <t>SADUN</t>
  </si>
  <si>
    <t>GS CICLI CONTI</t>
  </si>
  <si>
    <t>03:32:51.30</t>
  </si>
  <si>
    <t>NAPOLI</t>
  </si>
  <si>
    <t>03:32:56.10</t>
  </si>
  <si>
    <t>SC SPORTIVI DEL PONTE</t>
  </si>
  <si>
    <t>03:33:03.50</t>
  </si>
  <si>
    <t>BOLSI</t>
  </si>
  <si>
    <t>03:33:04.40</t>
  </si>
  <si>
    <t>CAVAZZOLI</t>
  </si>
  <si>
    <t>ALESSIA</t>
  </si>
  <si>
    <t>03:33:08.20</t>
  </si>
  <si>
    <t>GAZZI</t>
  </si>
  <si>
    <t>GS MAGNACAVALLO</t>
  </si>
  <si>
    <t>03:33:15.50</t>
  </si>
  <si>
    <t>PETRUZIELLO</t>
  </si>
  <si>
    <t>GC F. MOSER</t>
  </si>
  <si>
    <t>03:33:21.90</t>
  </si>
  <si>
    <t>03:33:22.40</t>
  </si>
  <si>
    <t>PAHOR</t>
  </si>
  <si>
    <t>MIRAN</t>
  </si>
  <si>
    <t>03:33:24.10</t>
  </si>
  <si>
    <t>GS TEAM  NOSTROMO RAVENNA</t>
  </si>
  <si>
    <t>03:33:33.00</t>
  </si>
  <si>
    <t>GIACOMELLI</t>
  </si>
  <si>
    <t>A.S.D TEAM SALIERI</t>
  </si>
  <si>
    <t>03:33:35.10</t>
  </si>
  <si>
    <t>ANTIMI</t>
  </si>
  <si>
    <t>RINASCITA IN BYCY</t>
  </si>
  <si>
    <t>03:33:41.20</t>
  </si>
  <si>
    <t>DOSSENA</t>
  </si>
  <si>
    <t>GS CYCLE CLASSIC</t>
  </si>
  <si>
    <t>03:33:41.50</t>
  </si>
  <si>
    <t>CECCARELLI</t>
  </si>
  <si>
    <t>03:33:43.70</t>
  </si>
  <si>
    <t>PANDOLFI</t>
  </si>
  <si>
    <t>CICLO CLUB PONTASSIEVE</t>
  </si>
  <si>
    <t>03:33:46.30</t>
  </si>
  <si>
    <t>SINATRA</t>
  </si>
  <si>
    <t>SC CASSANESE</t>
  </si>
  <si>
    <t>03:33:46.40</t>
  </si>
  <si>
    <t>03:33:47.70</t>
  </si>
  <si>
    <t>BUSANI</t>
  </si>
  <si>
    <t>03:33:51.00</t>
  </si>
  <si>
    <t>GILIBERTI</t>
  </si>
  <si>
    <t>03:33:55.30</t>
  </si>
  <si>
    <t>COSTA</t>
  </si>
  <si>
    <t>ASD TEAM SHARK</t>
  </si>
  <si>
    <t>03:34:02.10</t>
  </si>
  <si>
    <t>SCORRETTI</t>
  </si>
  <si>
    <t>ASS SPORT DILETT PEDALANDO</t>
  </si>
  <si>
    <t>03:34:03.40</t>
  </si>
  <si>
    <t>BENINI</t>
  </si>
  <si>
    <t>GS PEDALE BIZANTINO</t>
  </si>
  <si>
    <t>03:34:04.20</t>
  </si>
  <si>
    <t>DI SANZA</t>
  </si>
  <si>
    <t>03:34:05.10</t>
  </si>
  <si>
    <t>TURRONI</t>
  </si>
  <si>
    <t>03:34:06.20</t>
  </si>
  <si>
    <t>QUAGGIA</t>
  </si>
  <si>
    <t>03:34:07.30</t>
  </si>
  <si>
    <t>DIANATI</t>
  </si>
  <si>
    <t>03:34:08.20</t>
  </si>
  <si>
    <t>COLAUTTI</t>
  </si>
  <si>
    <t>03:34:22.20</t>
  </si>
  <si>
    <t>03:34:28.50</t>
  </si>
  <si>
    <t>CASALENA</t>
  </si>
  <si>
    <t>03:34:34.70</t>
  </si>
  <si>
    <t>MEAZZO</t>
  </si>
  <si>
    <t>03:34:36.50</t>
  </si>
  <si>
    <t>ODDI</t>
  </si>
  <si>
    <t>03:34:37.30</t>
  </si>
  <si>
    <t>03:34:37.40</t>
  </si>
  <si>
    <t>BERTELLE</t>
  </si>
  <si>
    <t>GC CASTELLO FELTRE</t>
  </si>
  <si>
    <t>03:34:48.40</t>
  </si>
  <si>
    <t>03:34:51.50</t>
  </si>
  <si>
    <t>MASTRODONATO</t>
  </si>
  <si>
    <t>SAVERO</t>
  </si>
  <si>
    <t>03:34:54.20</t>
  </si>
  <si>
    <t>PIER PAOLO</t>
  </si>
  <si>
    <t>ASD SANSONI TEAM</t>
  </si>
  <si>
    <t>03:34:58.30</t>
  </si>
  <si>
    <t>BERTINOTTI</t>
  </si>
  <si>
    <t>GS CONSORZIO LOMBARDO AMAT PISTA</t>
  </si>
  <si>
    <t>03:35:03.10</t>
  </si>
  <si>
    <t>ROMAGNOLO</t>
  </si>
  <si>
    <t>03:35:03.70</t>
  </si>
  <si>
    <t>GUIDUCCI</t>
  </si>
  <si>
    <t>03:35:08.20</t>
  </si>
  <si>
    <t>MANTOVANI</t>
  </si>
  <si>
    <t>GINO</t>
  </si>
  <si>
    <t>UISP PARMA COM</t>
  </si>
  <si>
    <t>03:35:09.20</t>
  </si>
  <si>
    <t>ROCCA</t>
  </si>
  <si>
    <t>PIERLUCA</t>
  </si>
  <si>
    <t>SC FILIPPO TALLERICO</t>
  </si>
  <si>
    <t>03:35:20.60</t>
  </si>
  <si>
    <t>MONTANARI</t>
  </si>
  <si>
    <t>SC PEDALE RAVENNATE</t>
  </si>
  <si>
    <t>03:35:22.40</t>
  </si>
  <si>
    <t>FUGATTINI</t>
  </si>
  <si>
    <t>03:35:24.00</t>
  </si>
  <si>
    <t>LOMBARDINI</t>
  </si>
  <si>
    <t>03:35:24.60</t>
  </si>
  <si>
    <t>03:35:28.80</t>
  </si>
  <si>
    <t>HORRELL</t>
  </si>
  <si>
    <t>PAUL ANTHONY</t>
  </si>
  <si>
    <t>03:35:32.30</t>
  </si>
  <si>
    <t>SC DOPLA GIO STYLE POL CASIER</t>
  </si>
  <si>
    <t>03:35:33.30</t>
  </si>
  <si>
    <t>SQUARCINA</t>
  </si>
  <si>
    <t>GS TEAM DE ROSA</t>
  </si>
  <si>
    <t>03:35:36.20</t>
  </si>
  <si>
    <t>CAVINA</t>
  </si>
  <si>
    <t>03:35:39.10</t>
  </si>
  <si>
    <t>03:35:39.40</t>
  </si>
  <si>
    <t>CINELLO</t>
  </si>
  <si>
    <t>UC CASELLE</t>
  </si>
  <si>
    <t>03:35:45.40</t>
  </si>
  <si>
    <t>PIRACCINI</t>
  </si>
  <si>
    <t>03:35:46.40</t>
  </si>
  <si>
    <t>MARCENTA</t>
  </si>
  <si>
    <t>PADOVA TRIATHLON DUATHLON</t>
  </si>
  <si>
    <t>03:35:47.50</t>
  </si>
  <si>
    <t>TIRELLI</t>
  </si>
  <si>
    <t>GS S. MARTINO SPORT</t>
  </si>
  <si>
    <t>03:35:51.40</t>
  </si>
  <si>
    <t>ARCADIO</t>
  </si>
  <si>
    <t>03:35:56.20</t>
  </si>
  <si>
    <t>BENZI</t>
  </si>
  <si>
    <t>VALERIANO</t>
  </si>
  <si>
    <t>ASD BUJE MTB</t>
  </si>
  <si>
    <t>03:35:56.40</t>
  </si>
  <si>
    <t>BAZZANI</t>
  </si>
  <si>
    <t>03:36:09.00</t>
  </si>
  <si>
    <t>GORZA</t>
  </si>
  <si>
    <t>GS CASTELLO</t>
  </si>
  <si>
    <t>03:36:13.20</t>
  </si>
  <si>
    <t>LACCHINI</t>
  </si>
  <si>
    <t>03:36:23.30</t>
  </si>
  <si>
    <t>BUZIOL</t>
  </si>
  <si>
    <t>GS JOLLY CIANO NORTHWAVE</t>
  </si>
  <si>
    <t>03:36:26.00</t>
  </si>
  <si>
    <t>PAOLINI</t>
  </si>
  <si>
    <t>03:36:38.50</t>
  </si>
  <si>
    <t>03:36:39.30</t>
  </si>
  <si>
    <t>PICCHETTI</t>
  </si>
  <si>
    <t>03:36:40.90</t>
  </si>
  <si>
    <t>DORIGUZZI</t>
  </si>
  <si>
    <t>03:36:43.30</t>
  </si>
  <si>
    <t>PAGNINI</t>
  </si>
  <si>
    <t>DOP AZ.LE BANCA MARCHE</t>
  </si>
  <si>
    <t>03:36:56.10</t>
  </si>
  <si>
    <t>CRAVIN</t>
  </si>
  <si>
    <t>03:36:57.50</t>
  </si>
  <si>
    <t>GHIOTTO</t>
  </si>
  <si>
    <t>GS CHIEMENTIN</t>
  </si>
  <si>
    <t>03:36:58.40</t>
  </si>
  <si>
    <t>CESARI</t>
  </si>
  <si>
    <t>GS FRATRES DINAMIS BIKE</t>
  </si>
  <si>
    <t>03:37:00.30</t>
  </si>
  <si>
    <t>03:37:02.40</t>
  </si>
  <si>
    <t>FILIPPI</t>
  </si>
  <si>
    <t>BORIS</t>
  </si>
  <si>
    <t>03:37:04.30</t>
  </si>
  <si>
    <t>PISCAGLIA</t>
  </si>
  <si>
    <t>03:37:09.30</t>
  </si>
  <si>
    <t>GS GEKO BIKE ASD</t>
  </si>
  <si>
    <t>03:37:09.60</t>
  </si>
  <si>
    <t>CARLINI</t>
  </si>
  <si>
    <t>03:37:13.50</t>
  </si>
  <si>
    <t>STEFANINI</t>
  </si>
  <si>
    <t>03:37:15.50</t>
  </si>
  <si>
    <t>03:37:18.60</t>
  </si>
  <si>
    <t>PASCUCCI</t>
  </si>
  <si>
    <t>03:37:19.10</t>
  </si>
  <si>
    <t>BORZILLO</t>
  </si>
  <si>
    <t>03:37:19.90</t>
  </si>
  <si>
    <t>CECCA</t>
  </si>
  <si>
    <t>03:37:21.30</t>
  </si>
  <si>
    <t>03:37:25.90</t>
  </si>
  <si>
    <t>BODIO</t>
  </si>
  <si>
    <t>ETTORE</t>
  </si>
  <si>
    <t>CICLISMO GIUDICARIESE</t>
  </si>
  <si>
    <t>03:37:27.00</t>
  </si>
  <si>
    <t>LECCHI</t>
  </si>
  <si>
    <t>03:37:27.40</t>
  </si>
  <si>
    <t>BASTIANONI</t>
  </si>
  <si>
    <t>03:37:28.10</t>
  </si>
  <si>
    <t>GHIRARDELLI</t>
  </si>
  <si>
    <t>GS LE VENEZIE</t>
  </si>
  <si>
    <t>03:37:32.10</t>
  </si>
  <si>
    <t>TAGLIUZZI</t>
  </si>
  <si>
    <t>03:37:36.20</t>
  </si>
  <si>
    <t>VITALE</t>
  </si>
  <si>
    <t>WILLIAM</t>
  </si>
  <si>
    <t>03:37:36.70</t>
  </si>
  <si>
    <t>BI&amp;BI BIKE TEAM</t>
  </si>
  <si>
    <t>03:37:41.00</t>
  </si>
  <si>
    <t>PANONI</t>
  </si>
  <si>
    <t>03:37:42.90</t>
  </si>
  <si>
    <t>FERRI</t>
  </si>
  <si>
    <t>03:38:04.40</t>
  </si>
  <si>
    <t>STRADAIOLI</t>
  </si>
  <si>
    <t>IMOLA BEVANDE KTM</t>
  </si>
  <si>
    <t>03:38:05.80</t>
  </si>
  <si>
    <t>TRALLI</t>
  </si>
  <si>
    <t>03:38:11.00</t>
  </si>
  <si>
    <t>MERLI</t>
  </si>
  <si>
    <t>CICLISTICA ZANICA</t>
  </si>
  <si>
    <t>03:38:12.20</t>
  </si>
  <si>
    <t>ANTONACCI</t>
  </si>
  <si>
    <t>PEDALE FERMANO</t>
  </si>
  <si>
    <t>03:38:15.70</t>
  </si>
  <si>
    <t>PASETTI</t>
  </si>
  <si>
    <t>03:38:21.30</t>
  </si>
  <si>
    <t>PASTA</t>
  </si>
  <si>
    <t>03:38:28.40</t>
  </si>
  <si>
    <t>TOGNON</t>
  </si>
  <si>
    <t>SC SOLIGHETTO 1919</t>
  </si>
  <si>
    <t>03:38:31.50</t>
  </si>
  <si>
    <t>03:38:33.00</t>
  </si>
  <si>
    <t>GIAMMARCO</t>
  </si>
  <si>
    <t>03:38:33.70</t>
  </si>
  <si>
    <t>ZULIANI</t>
  </si>
  <si>
    <t>UNIONE CICLISTICA DA POLDO</t>
  </si>
  <si>
    <t>03:38:37.20</t>
  </si>
  <si>
    <t>RIGGI</t>
  </si>
  <si>
    <t>ASD F.LLI DELL'AGUZZO</t>
  </si>
  <si>
    <t>03:38:52.20</t>
  </si>
  <si>
    <t>MORARA</t>
  </si>
  <si>
    <t>03:38:52.50</t>
  </si>
  <si>
    <t>ZULIAN</t>
  </si>
  <si>
    <t>ARIANNA</t>
  </si>
  <si>
    <t>ASD GC SAN BORTOLO</t>
  </si>
  <si>
    <t>03:38:55.40</t>
  </si>
  <si>
    <t>CALABRI</t>
  </si>
  <si>
    <t>03:38:58.40</t>
  </si>
  <si>
    <t>CODATO</t>
  </si>
  <si>
    <t>03:38:58.50</t>
  </si>
  <si>
    <t>SANTINI</t>
  </si>
  <si>
    <t>ASD VELO CLUB LA BICI</t>
  </si>
  <si>
    <t>03:39:00.20</t>
  </si>
  <si>
    <t>SCHIAVONE</t>
  </si>
  <si>
    <t>03:39:00.50</t>
  </si>
  <si>
    <t>BERTELLI</t>
  </si>
  <si>
    <t>GS ZAINA CLUB</t>
  </si>
  <si>
    <t>03:39:01.40</t>
  </si>
  <si>
    <t>MORESCO</t>
  </si>
  <si>
    <t>03:39:02.00</t>
  </si>
  <si>
    <t>LEONI</t>
  </si>
  <si>
    <t>03:39:13.40</t>
  </si>
  <si>
    <t>RE</t>
  </si>
  <si>
    <t>NARDINO</t>
  </si>
  <si>
    <t>GS CICL GUASTALLA</t>
  </si>
  <si>
    <t>03:39:14.20</t>
  </si>
  <si>
    <t>03:39:17.10</t>
  </si>
  <si>
    <t>ERMANNO</t>
  </si>
  <si>
    <t>03:39:21.50</t>
  </si>
  <si>
    <t>BUSNI</t>
  </si>
  <si>
    <t>GS RE ARTU'</t>
  </si>
  <si>
    <t>03:39:23.00</t>
  </si>
  <si>
    <t>AC ALTERA  MAGNAE GRAECIAE</t>
  </si>
  <si>
    <t>03:39:30.50</t>
  </si>
  <si>
    <t>DALLASTA</t>
  </si>
  <si>
    <t>03:39:42.30</t>
  </si>
  <si>
    <t>SMANIOTTO</t>
  </si>
  <si>
    <t>PAOLO ETTORE</t>
  </si>
  <si>
    <t>GS BARCELLA</t>
  </si>
  <si>
    <t>03:40:07.50</t>
  </si>
  <si>
    <t>CENTONZE</t>
  </si>
  <si>
    <t>PERNATESE CICLI FRUGERI</t>
  </si>
  <si>
    <t>03:40:19.40</t>
  </si>
  <si>
    <t>LOCATELLI</t>
  </si>
  <si>
    <t>03:40:24.10</t>
  </si>
  <si>
    <t>SEGAT</t>
  </si>
  <si>
    <t>03:40:26.10</t>
  </si>
  <si>
    <t>CREMONESE</t>
  </si>
  <si>
    <t>03:40:28.10</t>
  </si>
  <si>
    <t>AVANZI</t>
  </si>
  <si>
    <t>VALERIA</t>
  </si>
  <si>
    <t>03:40:28.70</t>
  </si>
  <si>
    <t>BRATTI</t>
  </si>
  <si>
    <t>03:40:43.30</t>
  </si>
  <si>
    <t>FRANCHINI</t>
  </si>
  <si>
    <t>03:40:52.60</t>
  </si>
  <si>
    <t>MUZZI</t>
  </si>
  <si>
    <t>GS CRI CASTEGGIO</t>
  </si>
  <si>
    <t>03:41:01.20</t>
  </si>
  <si>
    <t>SALUCCI</t>
  </si>
  <si>
    <t>03:41:16.20</t>
  </si>
  <si>
    <t>BISACCHI</t>
  </si>
  <si>
    <t>03:41:21.40</t>
  </si>
  <si>
    <t>CHIASSONI</t>
  </si>
  <si>
    <t>AVIS FALCONARA</t>
  </si>
  <si>
    <t>03:41:25.60</t>
  </si>
  <si>
    <t>PORCHETTI</t>
  </si>
  <si>
    <t>03:41:27.00</t>
  </si>
  <si>
    <t>CROCIANI</t>
  </si>
  <si>
    <t>POL.GLORIE</t>
  </si>
  <si>
    <t>03:41:32.60</t>
  </si>
  <si>
    <t>CORTINOVIS</t>
  </si>
  <si>
    <t>SEBASTIANO</t>
  </si>
  <si>
    <t>03:41:39.20</t>
  </si>
  <si>
    <t>SCADASSA</t>
  </si>
  <si>
    <t>JENNIFER</t>
  </si>
  <si>
    <t>03:41:41.50</t>
  </si>
  <si>
    <t>ALESSI</t>
  </si>
  <si>
    <t>KATTIA</t>
  </si>
  <si>
    <t>03:41:42.20</t>
  </si>
  <si>
    <t>03:41:44.00</t>
  </si>
  <si>
    <t>TAMPELLINI</t>
  </si>
  <si>
    <t>03:41:46.30</t>
  </si>
  <si>
    <t>MANICARDI</t>
  </si>
  <si>
    <t>03:41:49.40</t>
  </si>
  <si>
    <t>CALCAGNILE</t>
  </si>
  <si>
    <t>03:41:57.30</t>
  </si>
  <si>
    <t>MELARA</t>
  </si>
  <si>
    <t>03:42:06.50</t>
  </si>
  <si>
    <t>ARGENTA</t>
  </si>
  <si>
    <t>UC VALBELLUNA</t>
  </si>
  <si>
    <t>03:42:06.60</t>
  </si>
  <si>
    <t>03:42:07.30</t>
  </si>
  <si>
    <t>03:42:08.30</t>
  </si>
  <si>
    <t>BIANCHINI</t>
  </si>
  <si>
    <t>ASD CRAL BANCA POPOLARE SONDRIO</t>
  </si>
  <si>
    <t>03:42:08.50</t>
  </si>
  <si>
    <t>BONINI</t>
  </si>
  <si>
    <t>BICI CLUB AREZZO</t>
  </si>
  <si>
    <t>03:42:17.10</t>
  </si>
  <si>
    <t>BATTISTON</t>
  </si>
  <si>
    <t>ASD CICLO DELTA</t>
  </si>
  <si>
    <t>03:42:18.10</t>
  </si>
  <si>
    <t>GS TUTTOBICI-FARE</t>
  </si>
  <si>
    <t>03:42:18.40</t>
  </si>
  <si>
    <t>SANSOVINI</t>
  </si>
  <si>
    <t>03:42:20.20</t>
  </si>
  <si>
    <t>FREGNI</t>
  </si>
  <si>
    <t>03:42:20.70</t>
  </si>
  <si>
    <t>NEGLIA</t>
  </si>
  <si>
    <t>03:42:20.80</t>
  </si>
  <si>
    <t>BRIOTTI</t>
  </si>
  <si>
    <t>MIRIAM</t>
  </si>
  <si>
    <t>ASD TEAM MEMO BARTONALE</t>
  </si>
  <si>
    <t>03:42:21.80</t>
  </si>
  <si>
    <t>03:42:26.50</t>
  </si>
  <si>
    <t>ANTONELLI</t>
  </si>
  <si>
    <t>POL CASTIGLIONESE</t>
  </si>
  <si>
    <t>03:42:31.10</t>
  </si>
  <si>
    <t>CIMATTI</t>
  </si>
  <si>
    <t>GIAN LUCA</t>
  </si>
  <si>
    <t>03:42:31.40</t>
  </si>
  <si>
    <t>RAVAIOLI</t>
  </si>
  <si>
    <t>03:42:36.30</t>
  </si>
  <si>
    <t>CANEPPELE</t>
  </si>
  <si>
    <t>AS MERANO</t>
  </si>
  <si>
    <t>03:42:39.10</t>
  </si>
  <si>
    <t>BIONDI</t>
  </si>
  <si>
    <t>GS PEDALE MANCIANESE</t>
  </si>
  <si>
    <t>03:42:40.90</t>
  </si>
  <si>
    <t>PAZZAGLI</t>
  </si>
  <si>
    <t>03:42:41.00</t>
  </si>
  <si>
    <t>BUGATTI</t>
  </si>
  <si>
    <t>03:42:47.00</t>
  </si>
  <si>
    <t>03:42:54.50</t>
  </si>
  <si>
    <t>DE SALVO</t>
  </si>
  <si>
    <t>03:42:59.00</t>
  </si>
  <si>
    <t>03:43:05.10</t>
  </si>
  <si>
    <t>PAPINI</t>
  </si>
  <si>
    <t>CODERO</t>
  </si>
  <si>
    <t>GS CICLISMO BUTTRIO</t>
  </si>
  <si>
    <t>03:43:05.80</t>
  </si>
  <si>
    <t>03:43:09.60</t>
  </si>
  <si>
    <t>03:43:11.60</t>
  </si>
  <si>
    <t>KOHN</t>
  </si>
  <si>
    <t>ISAAC</t>
  </si>
  <si>
    <t>03:43:16.50</t>
  </si>
  <si>
    <t>03:43:17.00</t>
  </si>
  <si>
    <t>MANFRONI</t>
  </si>
  <si>
    <t>03:43:30.50</t>
  </si>
  <si>
    <t>BELARDINELLI</t>
  </si>
  <si>
    <t>03:43:33.20</t>
  </si>
  <si>
    <t>SABBATINI</t>
  </si>
  <si>
    <t>PANARIA SABBATINI SIROLO</t>
  </si>
  <si>
    <t>03:43:48.80</t>
  </si>
  <si>
    <t>ANDREUCCI</t>
  </si>
  <si>
    <t>03:43:53.60</t>
  </si>
  <si>
    <t>SENNA</t>
  </si>
  <si>
    <t>GS EUROBICI</t>
  </si>
  <si>
    <t>03:43:56.10</t>
  </si>
  <si>
    <t>VALDO</t>
  </si>
  <si>
    <t>03:43:56.30</t>
  </si>
  <si>
    <t>MARGHI</t>
  </si>
  <si>
    <t>ERMANO</t>
  </si>
  <si>
    <t>03:43:58.10</t>
  </si>
  <si>
    <t>RAMBELLI</t>
  </si>
  <si>
    <t>03:44:08.30</t>
  </si>
  <si>
    <t>ANGELINI</t>
  </si>
  <si>
    <t>03:44:16.60</t>
  </si>
  <si>
    <t>GS PEDALE BRUSAPORTO</t>
  </si>
  <si>
    <t>03:44:17.20</t>
  </si>
  <si>
    <t>MORESCHI</t>
  </si>
  <si>
    <t>ARTURO</t>
  </si>
  <si>
    <t>BERGHEM BIKE</t>
  </si>
  <si>
    <t>03:44:21.00</t>
  </si>
  <si>
    <t>PIAZZA</t>
  </si>
  <si>
    <t>LERRJ</t>
  </si>
  <si>
    <t>ASD GRAN FONDO CITTA'</t>
  </si>
  <si>
    <t>03:44:25.10</t>
  </si>
  <si>
    <t>VICINANZA</t>
  </si>
  <si>
    <t>03:44:39.90</t>
  </si>
  <si>
    <t>MICOZZI</t>
  </si>
  <si>
    <t>ADELIO</t>
  </si>
  <si>
    <t>03:44:40.20</t>
  </si>
  <si>
    <t>SERPICELLI</t>
  </si>
  <si>
    <t>03:44:41.30</t>
  </si>
  <si>
    <t>CIPOLLI</t>
  </si>
  <si>
    <t>ELIO</t>
  </si>
  <si>
    <t>03:44:50.30</t>
  </si>
  <si>
    <t>LODI</t>
  </si>
  <si>
    <t>03:45:02.30</t>
  </si>
  <si>
    <t>D'AMATO</t>
  </si>
  <si>
    <t>TEAM GF FERCA</t>
  </si>
  <si>
    <t>03:45:07.30</t>
  </si>
  <si>
    <t>GAGGIOTTINI</t>
  </si>
  <si>
    <t>CESARE</t>
  </si>
  <si>
    <t>03:45:18.90</t>
  </si>
  <si>
    <t>DE ANGELIS</t>
  </si>
  <si>
    <t>NAZZARENO</t>
  </si>
  <si>
    <t>03:45:25.00</t>
  </si>
  <si>
    <t>PASQUALI</t>
  </si>
  <si>
    <t>UISP BOLOGNA</t>
  </si>
  <si>
    <t>03:45:25.10</t>
  </si>
  <si>
    <t>CORRADO</t>
  </si>
  <si>
    <t>03:45:27.00</t>
  </si>
  <si>
    <t>ASD CLUB CICLI MALINI</t>
  </si>
  <si>
    <t>03:45:28.60</t>
  </si>
  <si>
    <t>PANIFICIO DEIDDA</t>
  </si>
  <si>
    <t>03:45:31.10</t>
  </si>
  <si>
    <t>DELL'ARTI</t>
  </si>
  <si>
    <t>GS CICLI CUSSIGH</t>
  </si>
  <si>
    <t>03:45:32.20</t>
  </si>
  <si>
    <t>VECCHI</t>
  </si>
  <si>
    <t>PRIMO</t>
  </si>
  <si>
    <t>03:45:34.70</t>
  </si>
  <si>
    <t>GIANNONI</t>
  </si>
  <si>
    <t>03:45:36.30</t>
  </si>
  <si>
    <t>NERETTI</t>
  </si>
  <si>
    <t>TERENZIO</t>
  </si>
  <si>
    <t>03:45:41.10</t>
  </si>
  <si>
    <t>SILVANO</t>
  </si>
  <si>
    <t>GC COSTA DEL SOLE CICLI BOGHETTA</t>
  </si>
  <si>
    <t>03:45:46.00</t>
  </si>
  <si>
    <t>RIVANI</t>
  </si>
  <si>
    <t>03:45:47.10</t>
  </si>
  <si>
    <t>NALDINI</t>
  </si>
  <si>
    <t>03:45:51.40</t>
  </si>
  <si>
    <t>03:45:52.80</t>
  </si>
  <si>
    <t>ADORNI</t>
  </si>
  <si>
    <t>GS AVIS C.R.I. S. SECONDO</t>
  </si>
  <si>
    <t>03:45:53.70</t>
  </si>
  <si>
    <t>COCCO</t>
  </si>
  <si>
    <t>GREGORIO</t>
  </si>
  <si>
    <t>GP ANTONELLI</t>
  </si>
  <si>
    <t>03:46:10.30</t>
  </si>
  <si>
    <t>POLISPORTIVA AZZURRA</t>
  </si>
  <si>
    <t>03:46:14.20</t>
  </si>
  <si>
    <t>MATTEVI</t>
  </si>
  <si>
    <t>EROS</t>
  </si>
  <si>
    <t>SC ALTAIR</t>
  </si>
  <si>
    <t>03:46:14.40</t>
  </si>
  <si>
    <t>PROCICLISMO PRATOLA P.</t>
  </si>
  <si>
    <t>03:46:15.10</t>
  </si>
  <si>
    <t>RUBINI</t>
  </si>
  <si>
    <t>03:46:16.50</t>
  </si>
  <si>
    <t>03:46:17.10</t>
  </si>
  <si>
    <t>DERIS</t>
  </si>
  <si>
    <t>03:46:23.00</t>
  </si>
  <si>
    <t>SALMOIRAGHI</t>
  </si>
  <si>
    <t>ASD GS BLUCOM</t>
  </si>
  <si>
    <t>03:46:31.00</t>
  </si>
  <si>
    <t>LENZI</t>
  </si>
  <si>
    <t>TEAM BOTA</t>
  </si>
  <si>
    <t>03:46:31.10</t>
  </si>
  <si>
    <t>BESANI</t>
  </si>
  <si>
    <t>PEGASO ASD</t>
  </si>
  <si>
    <t>03:46:32.30</t>
  </si>
  <si>
    <t>BUCCITTI</t>
  </si>
  <si>
    <t>03:46:33.00</t>
  </si>
  <si>
    <t>AMATUCCI</t>
  </si>
  <si>
    <t>CIRCOLO AMATORI DELLA BICI</t>
  </si>
  <si>
    <t>03:46:33.40</t>
  </si>
  <si>
    <t>MENOTTI</t>
  </si>
  <si>
    <t>03:46:41.20</t>
  </si>
  <si>
    <t>GIUPPONI</t>
  </si>
  <si>
    <t>03:46:46.70</t>
  </si>
  <si>
    <t>FONIO</t>
  </si>
  <si>
    <t>SAMUEL</t>
  </si>
  <si>
    <t>A.S.D BORTOLAMI ACTION</t>
  </si>
  <si>
    <t>03:46:49.30</t>
  </si>
  <si>
    <t>DI GIANDOMENICO</t>
  </si>
  <si>
    <t>03:46:54.60</t>
  </si>
  <si>
    <t>MENSONI</t>
  </si>
  <si>
    <t>03:47:04.40</t>
  </si>
  <si>
    <t>PILOT</t>
  </si>
  <si>
    <t>CC PIEMONTE</t>
  </si>
  <si>
    <t>03:47:04.60</t>
  </si>
  <si>
    <t>PUPPO</t>
  </si>
  <si>
    <t>03:47:06.60</t>
  </si>
  <si>
    <t>GHIGI</t>
  </si>
  <si>
    <t>03:47:07.00</t>
  </si>
  <si>
    <t>CONTI</t>
  </si>
  <si>
    <t>03:47:07.40</t>
  </si>
  <si>
    <t>CUPIOLI</t>
  </si>
  <si>
    <t>ONORIO</t>
  </si>
  <si>
    <t>03:47:08.30</t>
  </si>
  <si>
    <t>CAPORALETTI</t>
  </si>
  <si>
    <t>03:47:16.40</t>
  </si>
  <si>
    <t>03:47:17.10</t>
  </si>
  <si>
    <t>LANDINI</t>
  </si>
  <si>
    <t>03:47:23.20</t>
  </si>
  <si>
    <t>FUZZI</t>
  </si>
  <si>
    <t>03:47:29.30</t>
  </si>
  <si>
    <t>BERNARDI</t>
  </si>
  <si>
    <t>03:47:30.10</t>
  </si>
  <si>
    <t>RAFFINI</t>
  </si>
  <si>
    <t>HOBBY BIKE</t>
  </si>
  <si>
    <t>03:47:32.20</t>
  </si>
  <si>
    <t>RIGON</t>
  </si>
  <si>
    <t>POLISPORTIVA CSC</t>
  </si>
  <si>
    <t>03:47:34.10</t>
  </si>
  <si>
    <t>ZAPPI</t>
  </si>
  <si>
    <t>CICLISTICA MASSESE</t>
  </si>
  <si>
    <t>03:47:38.40</t>
  </si>
  <si>
    <t>03:47:40.50</t>
  </si>
  <si>
    <t>PANZAVOLTA</t>
  </si>
  <si>
    <t>ELISA</t>
  </si>
  <si>
    <t>03:47:43.30</t>
  </si>
  <si>
    <t>BEE</t>
  </si>
  <si>
    <t>03:47:46.00</t>
  </si>
  <si>
    <t>PARMEGGIANI</t>
  </si>
  <si>
    <t>GIOVANNINO</t>
  </si>
  <si>
    <t>03:47:48.20</t>
  </si>
  <si>
    <t>RIGHES</t>
  </si>
  <si>
    <t>VELO CLUB FELTRE</t>
  </si>
  <si>
    <t>03:47:52.00</t>
  </si>
  <si>
    <t>03:47:52.30</t>
  </si>
  <si>
    <t>LIVERANI</t>
  </si>
  <si>
    <t>ATLETICA 85 FAENZA</t>
  </si>
  <si>
    <t>03:47:56.40</t>
  </si>
  <si>
    <t>SANTORO</t>
  </si>
  <si>
    <t>PARIDE</t>
  </si>
  <si>
    <t>03:47:58.20</t>
  </si>
  <si>
    <t>03:48:01.30</t>
  </si>
  <si>
    <t>DRAGHI</t>
  </si>
  <si>
    <t>BULLETTA BIKE</t>
  </si>
  <si>
    <t>03:48:01.40</t>
  </si>
  <si>
    <t>BASEOTTO</t>
  </si>
  <si>
    <t>ASD MAGICA BIKE</t>
  </si>
  <si>
    <t>03:48:09.80</t>
  </si>
  <si>
    <t>VOLPI</t>
  </si>
  <si>
    <t>ASD TRES TABERNAE</t>
  </si>
  <si>
    <t>03:48:12.00</t>
  </si>
  <si>
    <t>PAULIN</t>
  </si>
  <si>
    <t>03:48:20.20</t>
  </si>
  <si>
    <t>CURTI</t>
  </si>
  <si>
    <t>ASD CICLOAMATORI NAVARA</t>
  </si>
  <si>
    <t>03:48:26.50</t>
  </si>
  <si>
    <t>GRASSETTI</t>
  </si>
  <si>
    <t>SS TURBIKE</t>
  </si>
  <si>
    <t>03:48:27.40</t>
  </si>
  <si>
    <t>MAGNARINI</t>
  </si>
  <si>
    <t>03:48:29.10</t>
  </si>
  <si>
    <t>CECCHETTINI</t>
  </si>
  <si>
    <t>03:48:31.80</t>
  </si>
  <si>
    <t>DOTTI</t>
  </si>
  <si>
    <t>03:48:41.10</t>
  </si>
  <si>
    <t>RAPONE</t>
  </si>
  <si>
    <t>VC  SUBIACO</t>
  </si>
  <si>
    <t>03:48:43.30</t>
  </si>
  <si>
    <t>03:48:46.60</t>
  </si>
  <si>
    <t>SETTEPANI</t>
  </si>
  <si>
    <t>TEAMAX</t>
  </si>
  <si>
    <t>03:48:47.50</t>
  </si>
  <si>
    <t>GORI</t>
  </si>
  <si>
    <t>03:48:49.40</t>
  </si>
  <si>
    <t>03:48:51.70</t>
  </si>
  <si>
    <t>ROSA</t>
  </si>
  <si>
    <t>03:49:05.20</t>
  </si>
  <si>
    <t>ARNOLD</t>
  </si>
  <si>
    <t>03:49:09.50</t>
  </si>
  <si>
    <t>LONATI</t>
  </si>
  <si>
    <t>ASD CICLISTI DERGANO</t>
  </si>
  <si>
    <t>03:49:14.30</t>
  </si>
  <si>
    <t>COCCHI</t>
  </si>
  <si>
    <t>TOP RACING BIKE-TEAM LODI</t>
  </si>
  <si>
    <t>03:49:14.40</t>
  </si>
  <si>
    <t>03:49:18.20</t>
  </si>
  <si>
    <t>CATTIVELLI</t>
  </si>
  <si>
    <t>CENTRO SOCIALE UNIVERSITARIO</t>
  </si>
  <si>
    <t>03:49:20.20</t>
  </si>
  <si>
    <t>PACE</t>
  </si>
  <si>
    <t>GS CASTEL RIGONE PEDALA</t>
  </si>
  <si>
    <t>03:49:26.30</t>
  </si>
  <si>
    <t>RENDA</t>
  </si>
  <si>
    <t>ANNA LISA</t>
  </si>
  <si>
    <t>03:49:28.00</t>
  </si>
  <si>
    <t>NERIO</t>
  </si>
  <si>
    <t>03:49:37.20</t>
  </si>
  <si>
    <t>FURIA</t>
  </si>
  <si>
    <t>EDOARDO</t>
  </si>
  <si>
    <t>BICI SHOP</t>
  </si>
  <si>
    <t>03:49:39.00</t>
  </si>
  <si>
    <t>ALLEGRI</t>
  </si>
  <si>
    <t>GS CICLI TIZZONI</t>
  </si>
  <si>
    <t>03:49:43.40</t>
  </si>
  <si>
    <t>CIARAPICA</t>
  </si>
  <si>
    <t>CESENA BIKE</t>
  </si>
  <si>
    <t>03:49:47.60</t>
  </si>
  <si>
    <t>COMINGIO</t>
  </si>
  <si>
    <t>03:49:50.60</t>
  </si>
  <si>
    <t>ISOLANI</t>
  </si>
  <si>
    <t>FURIO CAMILLO</t>
  </si>
  <si>
    <t>GS MOUNTAIN BIKE CLUB CECINA</t>
  </si>
  <si>
    <t>03:49:51.00</t>
  </si>
  <si>
    <t>PEDARZINI</t>
  </si>
  <si>
    <t>NOBER</t>
  </si>
  <si>
    <t>03:49:54.10</t>
  </si>
  <si>
    <t>CINZIA</t>
  </si>
  <si>
    <t>03:49:56.10</t>
  </si>
  <si>
    <t>03:49:59.30</t>
  </si>
  <si>
    <t>DEVLIN</t>
  </si>
  <si>
    <t>TIM</t>
  </si>
  <si>
    <t>EUROBODALLA</t>
  </si>
  <si>
    <t>03:50:08.60</t>
  </si>
  <si>
    <t>D'ALESSIO</t>
  </si>
  <si>
    <t>INTEGRA TEAM</t>
  </si>
  <si>
    <t>03:50:17.10</t>
  </si>
  <si>
    <t>PANAZZOLO</t>
  </si>
  <si>
    <t>FLAVIO</t>
  </si>
  <si>
    <t>CICLI ZANELLA</t>
  </si>
  <si>
    <t>03:50:17.30</t>
  </si>
  <si>
    <t>MAZZETTA</t>
  </si>
  <si>
    <t>03:50:18.90</t>
  </si>
  <si>
    <t>PASOLINI</t>
  </si>
  <si>
    <t>03:50:21.10</t>
  </si>
  <si>
    <t>LUPPI</t>
  </si>
  <si>
    <t>03:50:22.70</t>
  </si>
  <si>
    <t>RIZZO</t>
  </si>
  <si>
    <t>MODESTINO</t>
  </si>
  <si>
    <t>ASD BHOSS KING BIKE</t>
  </si>
  <si>
    <t>03:50:23.30</t>
  </si>
  <si>
    <t>BONACINI</t>
  </si>
  <si>
    <t>03:50:24.10</t>
  </si>
  <si>
    <t>SEGALINA</t>
  </si>
  <si>
    <t>03:50:25.20</t>
  </si>
  <si>
    <t>SAVAZZI</t>
  </si>
  <si>
    <t>OTTORINO</t>
  </si>
  <si>
    <t>ASSOS TEAM</t>
  </si>
  <si>
    <t>03:50:25.50</t>
  </si>
  <si>
    <t>03:50:34.30</t>
  </si>
  <si>
    <t>LUSUARDI</t>
  </si>
  <si>
    <t>ASD CICLISTI SUZZARESE</t>
  </si>
  <si>
    <t>03:50:36.50</t>
  </si>
  <si>
    <t>SINTONI</t>
  </si>
  <si>
    <t>03:50:36.70</t>
  </si>
  <si>
    <t>LUNGHI</t>
  </si>
  <si>
    <t>03:50:37.30</t>
  </si>
  <si>
    <t>TARASCONI</t>
  </si>
  <si>
    <t>03:50:43.20</t>
  </si>
  <si>
    <t>MUNERATO</t>
  </si>
  <si>
    <t>ALICE</t>
  </si>
  <si>
    <t>03:50:47.40</t>
  </si>
  <si>
    <t>03:50:54.30</t>
  </si>
  <si>
    <t>PINTUS</t>
  </si>
  <si>
    <t>VELO FELTRE CICLI DALLA ROSA</t>
  </si>
  <si>
    <t>03:51:02.10</t>
  </si>
  <si>
    <t>FOSCHI</t>
  </si>
  <si>
    <t>03:51:12.30</t>
  </si>
  <si>
    <t>MARINA</t>
  </si>
  <si>
    <t>03:51:17.10</t>
  </si>
  <si>
    <t>RAIMONDI</t>
  </si>
  <si>
    <t>03:51:21.50</t>
  </si>
  <si>
    <t>MARISI</t>
  </si>
  <si>
    <t>03:51:25.10</t>
  </si>
  <si>
    <t>03:51:33.30</t>
  </si>
  <si>
    <t>MINGHETTI</t>
  </si>
  <si>
    <t>03:51:35.10</t>
  </si>
  <si>
    <t>CAINELLI</t>
  </si>
  <si>
    <t>03:51:35.40</t>
  </si>
  <si>
    <t>PALUZZI</t>
  </si>
  <si>
    <t>03:51:41.30</t>
  </si>
  <si>
    <t>LAZZERI</t>
  </si>
  <si>
    <t>POL. COMUNALE SANSEPOLCRO</t>
  </si>
  <si>
    <t>03:51:46.50</t>
  </si>
  <si>
    <t>03:52:03.40</t>
  </si>
  <si>
    <t>ANDREINA</t>
  </si>
  <si>
    <t>03:52:06.10</t>
  </si>
  <si>
    <t>ARCAGNI</t>
  </si>
  <si>
    <t>LINO</t>
  </si>
  <si>
    <t>US ACLI BREMBIO</t>
  </si>
  <si>
    <t>03:52:07.50</t>
  </si>
  <si>
    <t>MISEROCCHI</t>
  </si>
  <si>
    <t>03:52:08.40</t>
  </si>
  <si>
    <t>SCARABAT</t>
  </si>
  <si>
    <t>03:52:22.10</t>
  </si>
  <si>
    <t>03:52:37.90</t>
  </si>
  <si>
    <t>PICCOLO</t>
  </si>
  <si>
    <t>03:52:47.00</t>
  </si>
  <si>
    <t>03:52:59.00</t>
  </si>
  <si>
    <t>ZAMBALDI</t>
  </si>
  <si>
    <t>03:53:03.30</t>
  </si>
  <si>
    <t>FERMI</t>
  </si>
  <si>
    <t>03:53:09.40</t>
  </si>
  <si>
    <t>SEVERGNINI</t>
  </si>
  <si>
    <t>03:53:09.70</t>
  </si>
  <si>
    <t>BORSA</t>
  </si>
  <si>
    <t>MARIA ROSA</t>
  </si>
  <si>
    <t>03:53:10.30</t>
  </si>
  <si>
    <t>MAMONE</t>
  </si>
  <si>
    <t>03:53:15.50</t>
  </si>
  <si>
    <t>SEMPRINI</t>
  </si>
  <si>
    <t>03:53:17.90</t>
  </si>
  <si>
    <t>GAIANI</t>
  </si>
  <si>
    <t>03:53:19.60</t>
  </si>
  <si>
    <t>CASTIELLO</t>
  </si>
  <si>
    <t>03:53:20.30</t>
  </si>
  <si>
    <t>CORTI</t>
  </si>
  <si>
    <t>ASD SAN NICOLO' BIKE</t>
  </si>
  <si>
    <t>03:53:23.10</t>
  </si>
  <si>
    <t>03:53:26.40</t>
  </si>
  <si>
    <t>PUGLISI</t>
  </si>
  <si>
    <t>03:53:27.60</t>
  </si>
  <si>
    <t>BUTTAZZO</t>
  </si>
  <si>
    <t>MAURILIO</t>
  </si>
  <si>
    <t>03:53:40.40</t>
  </si>
  <si>
    <t>CARMAGNANI</t>
  </si>
  <si>
    <t>03:53:41.50</t>
  </si>
  <si>
    <t>SPREAFICO</t>
  </si>
  <si>
    <t>GS CICLISTICA AIDO GRASSOBBIO</t>
  </si>
  <si>
    <t>03:53:44.60</t>
  </si>
  <si>
    <t>LOBERTI</t>
  </si>
  <si>
    <t>03:53:51.30</t>
  </si>
  <si>
    <t>03:53:52.20</t>
  </si>
  <si>
    <t>ROLLO</t>
  </si>
  <si>
    <t>03:53:53.00</t>
  </si>
  <si>
    <t>MACCHIA</t>
  </si>
  <si>
    <t>GC PENTRIA</t>
  </si>
  <si>
    <t>03:53:53.90</t>
  </si>
  <si>
    <t>GAUDENZI</t>
  </si>
  <si>
    <t>GS CICLISTICA MASSESE</t>
  </si>
  <si>
    <t>03:53:54.10</t>
  </si>
  <si>
    <t>TRONCON</t>
  </si>
  <si>
    <t>TEAM BICI &amp; BIKE</t>
  </si>
  <si>
    <t>03:53:54.20</t>
  </si>
  <si>
    <t>03:53:57.00</t>
  </si>
  <si>
    <t>SANTIN</t>
  </si>
  <si>
    <t>NELLO</t>
  </si>
  <si>
    <t>03:54:01.30</t>
  </si>
  <si>
    <t>CADELLI</t>
  </si>
  <si>
    <t>G VULKAN</t>
  </si>
  <si>
    <t>03:54:23.20</t>
  </si>
  <si>
    <t>ABRAMO</t>
  </si>
  <si>
    <t>03:54:25.50</t>
  </si>
  <si>
    <t>PASSABI'</t>
  </si>
  <si>
    <t>03:54:26.20</t>
  </si>
  <si>
    <t>ZAMMARCHI</t>
  </si>
  <si>
    <t>ASD PASCOLI PEDALE</t>
  </si>
  <si>
    <t>03:54:28.40</t>
  </si>
  <si>
    <t>03:54:51.60</t>
  </si>
  <si>
    <t>MONTAGNINI</t>
  </si>
  <si>
    <t>03:54:55.00</t>
  </si>
  <si>
    <t>PRIMAVERA</t>
  </si>
  <si>
    <t>03:54:58.20</t>
  </si>
  <si>
    <t>BASTIANELLI</t>
  </si>
  <si>
    <t>03:55:01.00</t>
  </si>
  <si>
    <t>PAOLON</t>
  </si>
  <si>
    <t>FRANCESCO MICHELE</t>
  </si>
  <si>
    <t>VELOCIRAPTORS CEGGIA FREETIME</t>
  </si>
  <si>
    <t>03:55:02.20</t>
  </si>
  <si>
    <t>BALDISSIN</t>
  </si>
  <si>
    <t>03:55:04.60</t>
  </si>
  <si>
    <t>03:55:06.50</t>
  </si>
  <si>
    <t>CAMPION</t>
  </si>
  <si>
    <t>03:55:10.40</t>
  </si>
  <si>
    <t>FERRARA</t>
  </si>
  <si>
    <t>03:55:14.20</t>
  </si>
  <si>
    <t>FAENZA</t>
  </si>
  <si>
    <t>03:55:25.60</t>
  </si>
  <si>
    <t>03:55:27.10</t>
  </si>
  <si>
    <t>BELLINI</t>
  </si>
  <si>
    <t>03:55:27.20</t>
  </si>
  <si>
    <t>CARACCIOLO</t>
  </si>
  <si>
    <t>03:55:29.40</t>
  </si>
  <si>
    <t>TODDE</t>
  </si>
  <si>
    <t>03:55:31.40</t>
  </si>
  <si>
    <t>03:55:31.60</t>
  </si>
  <si>
    <t>03:55:35.80</t>
  </si>
  <si>
    <t>GUERRIERI</t>
  </si>
  <si>
    <t>03:55:45.40</t>
  </si>
  <si>
    <t>PEZZA</t>
  </si>
  <si>
    <t>03:55:48.40</t>
  </si>
  <si>
    <t>GAIA</t>
  </si>
  <si>
    <t>03:55:50.10</t>
  </si>
  <si>
    <t>MARTINELLI</t>
  </si>
  <si>
    <t>MARCO PAOLO</t>
  </si>
  <si>
    <t>03:55:57.20</t>
  </si>
  <si>
    <t>SICHIROLLO</t>
  </si>
  <si>
    <t>CYCLE SPORT VIS SICUREZZA</t>
  </si>
  <si>
    <t>03:55:59.60</t>
  </si>
  <si>
    <t>BERTI</t>
  </si>
  <si>
    <t>03:56:00.00</t>
  </si>
  <si>
    <t>FRANCESCHINI</t>
  </si>
  <si>
    <t>03:56:00.60</t>
  </si>
  <si>
    <t>ZAMPORLINI</t>
  </si>
  <si>
    <t>DLF ANCONA</t>
  </si>
  <si>
    <t>03:56:02.20</t>
  </si>
  <si>
    <t>GARAGNANI</t>
  </si>
  <si>
    <t>03:56:05.20</t>
  </si>
  <si>
    <t>ZUCCO</t>
  </si>
  <si>
    <t>CICLI PEPINO - VVFF FUOCO CUNEO</t>
  </si>
  <si>
    <t>05:27:23.80</t>
  </si>
  <si>
    <t>05:27:28.30</t>
  </si>
  <si>
    <t>FORTUNATI</t>
  </si>
  <si>
    <t>05:27:28.60</t>
  </si>
  <si>
    <t>CONTESINI</t>
  </si>
  <si>
    <t>05:27:30.30</t>
  </si>
  <si>
    <t>ALEOTTI</t>
  </si>
  <si>
    <t>05:27:31.00</t>
  </si>
  <si>
    <t>CANETTI</t>
  </si>
  <si>
    <t>05:27:32.20</t>
  </si>
  <si>
    <t>DIEMMI</t>
  </si>
  <si>
    <t>05:27:33.20</t>
  </si>
  <si>
    <t>MITROTTI</t>
  </si>
  <si>
    <t>ISABELLA</t>
  </si>
  <si>
    <t>FINECO BIKE &amp; CO</t>
  </si>
  <si>
    <t>05:27:37.00</t>
  </si>
  <si>
    <t>CERRI</t>
  </si>
  <si>
    <t>05:27:50.20</t>
  </si>
  <si>
    <t>SANTILLI</t>
  </si>
  <si>
    <t>05:27:52.50</t>
  </si>
  <si>
    <t>ALUNNI</t>
  </si>
  <si>
    <t>05:27:59.00</t>
  </si>
  <si>
    <t>05:28:18.40</t>
  </si>
  <si>
    <t>PIERGENTILI</t>
  </si>
  <si>
    <t>TEAM BIKE VITERBO</t>
  </si>
  <si>
    <t>05:28:23.10</t>
  </si>
  <si>
    <t>BOVO</t>
  </si>
  <si>
    <t>05:28:23.30</t>
  </si>
  <si>
    <t>MAGNONI</t>
  </si>
  <si>
    <t>ASD GZ TEAM YOUNG WILDS</t>
  </si>
  <si>
    <t>05:28:27.10</t>
  </si>
  <si>
    <t>CARUSO</t>
  </si>
  <si>
    <t>SANTO</t>
  </si>
  <si>
    <t>GRUPPO SP.  PEDALE IBLEO</t>
  </si>
  <si>
    <t>05:28:31.10</t>
  </si>
  <si>
    <t>EMANUELLI</t>
  </si>
  <si>
    <t>05:28:32.60</t>
  </si>
  <si>
    <t>SPADETTO</t>
  </si>
  <si>
    <t>05:28:32.90</t>
  </si>
  <si>
    <t>MORIANI</t>
  </si>
  <si>
    <t>05:28:37.10</t>
  </si>
  <si>
    <t>LOVI</t>
  </si>
  <si>
    <t>05:28:38.80</t>
  </si>
  <si>
    <t>05:28:44.30</t>
  </si>
  <si>
    <t>MAZZINA</t>
  </si>
  <si>
    <t>PIERDOMENICO</t>
  </si>
  <si>
    <t>GS COMO IN BICI</t>
  </si>
  <si>
    <t>05:28:47.40</t>
  </si>
  <si>
    <t>VENIERI</t>
  </si>
  <si>
    <t>05:28:51.10</t>
  </si>
  <si>
    <t>OSELLAME</t>
  </si>
  <si>
    <t>ENNIO</t>
  </si>
  <si>
    <t>05:28:53.00</t>
  </si>
  <si>
    <t>TESSIERI</t>
  </si>
  <si>
    <t>DUE RUOTE</t>
  </si>
  <si>
    <t>05:28:53.30</t>
  </si>
  <si>
    <t>05:29:00.20</t>
  </si>
  <si>
    <t>ZANETTE</t>
  </si>
  <si>
    <t>ASD BIKE TEAM CANSIGLIO</t>
  </si>
  <si>
    <t>05:29:04.30</t>
  </si>
  <si>
    <t>PIERGIOVANNI</t>
  </si>
  <si>
    <t>05:29:12.20</t>
  </si>
  <si>
    <t>05:29:49.20</t>
  </si>
  <si>
    <t>GUIDUZZI</t>
  </si>
  <si>
    <t>GS HOBBY BIKE CLUB MTB</t>
  </si>
  <si>
    <t>05:30:05.10</t>
  </si>
  <si>
    <t>GODINO</t>
  </si>
  <si>
    <t>PANIGALESE</t>
  </si>
  <si>
    <t>05:30:08.60</t>
  </si>
  <si>
    <t>CATTELANI</t>
  </si>
  <si>
    <t>05:30:09.40</t>
  </si>
  <si>
    <t>IOVANNA</t>
  </si>
  <si>
    <t>05:30:13.40</t>
  </si>
  <si>
    <t>MORONI</t>
  </si>
  <si>
    <t>05:30:14.10</t>
  </si>
  <si>
    <t>CANDINI</t>
  </si>
  <si>
    <t>05:30:14.30</t>
  </si>
  <si>
    <t>05:30:15.10</t>
  </si>
  <si>
    <t>DE PAOLI</t>
  </si>
  <si>
    <t>GIANNI MARCO</t>
  </si>
  <si>
    <t>05:30:17.60</t>
  </si>
  <si>
    <t>TEAM VIRGINIA 1962</t>
  </si>
  <si>
    <t>05:30:24.20</t>
  </si>
  <si>
    <t>MALERBA</t>
  </si>
  <si>
    <t>CATERBO</t>
  </si>
  <si>
    <t>05:30:29.00</t>
  </si>
  <si>
    <t>LAGIOIA</t>
  </si>
  <si>
    <t>05:30:30.10</t>
  </si>
  <si>
    <t>05:30:32.70</t>
  </si>
  <si>
    <t>05:30:33.30</t>
  </si>
  <si>
    <t>SELVA</t>
  </si>
  <si>
    <t>05:30:42.70</t>
  </si>
  <si>
    <t>BERALDO</t>
  </si>
  <si>
    <t>05:30:47.00</t>
  </si>
  <si>
    <t>ZANFI</t>
  </si>
  <si>
    <t>TEAM VIRGINIA</t>
  </si>
  <si>
    <t>05:30:48.50</t>
  </si>
  <si>
    <t>SPAGNOLLI</t>
  </si>
  <si>
    <t>05:30:49.40</t>
  </si>
  <si>
    <t>TEOLDI</t>
  </si>
  <si>
    <t>TARCISIO</t>
  </si>
  <si>
    <t>POLISPORTIVA BESANESE</t>
  </si>
  <si>
    <t>05:30:54.50</t>
  </si>
  <si>
    <t>BOSCARATO</t>
  </si>
  <si>
    <t>05:30:55.20</t>
  </si>
  <si>
    <t>05:31:14.90</t>
  </si>
  <si>
    <t>POLISPOTIVA CAPOCOLLE AD</t>
  </si>
  <si>
    <t>05:31:24.30</t>
  </si>
  <si>
    <t>VALZANIA</t>
  </si>
  <si>
    <t>05:31:27.00</t>
  </si>
  <si>
    <t>CASTOLDI</t>
  </si>
  <si>
    <t>CICLOAMATORI SERVETTO</t>
  </si>
  <si>
    <t>05:31:29.20</t>
  </si>
  <si>
    <t>CATAFFO</t>
  </si>
  <si>
    <t>GIANNA MARIA</t>
  </si>
  <si>
    <t>05:31:30.50</t>
  </si>
  <si>
    <t>VACCARETTO</t>
  </si>
  <si>
    <t>05:31:36.10</t>
  </si>
  <si>
    <t>BESANA</t>
  </si>
  <si>
    <t>05:31:36.70</t>
  </si>
  <si>
    <t>05:31:37.10</t>
  </si>
  <si>
    <t>TONINELLI</t>
  </si>
  <si>
    <t>05:31:38.20</t>
  </si>
  <si>
    <t>NERONI</t>
  </si>
  <si>
    <t>05:31:38.30</t>
  </si>
  <si>
    <t>PRIORI</t>
  </si>
  <si>
    <t>05:31:40.20</t>
  </si>
  <si>
    <t>DE LAZZER</t>
  </si>
  <si>
    <t>05:31:43.50</t>
  </si>
  <si>
    <t>ASD GS CITTA' DI TREVIGLIO</t>
  </si>
  <si>
    <t>05:31:48.00</t>
  </si>
  <si>
    <t>CAMPIGLI</t>
  </si>
  <si>
    <t>TASD GS TESTA TIPOLITOGRAFIA</t>
  </si>
  <si>
    <t>05:31:51.40</t>
  </si>
  <si>
    <t>VODOLA</t>
  </si>
  <si>
    <t>05:31:53.90</t>
  </si>
  <si>
    <t>DEGANO</t>
  </si>
  <si>
    <t>CRAL REALE MUTUA ASSICURAZIONI</t>
  </si>
  <si>
    <t>05:31:54.00</t>
  </si>
  <si>
    <t>RIMERICI</t>
  </si>
  <si>
    <t>GS FULVIA PAGLIUGHI CICLI</t>
  </si>
  <si>
    <t>05:31:55.30</t>
  </si>
  <si>
    <t>05:32:05.50</t>
  </si>
  <si>
    <t>BARZOTTI</t>
  </si>
  <si>
    <t>ASD MASTINI CAGLI</t>
  </si>
  <si>
    <t>05:32:13.30</t>
  </si>
  <si>
    <t>05:32:24.30</t>
  </si>
  <si>
    <t>CASONATO</t>
  </si>
  <si>
    <t>GS MARINA CANCELLI CICLI SPERAN</t>
  </si>
  <si>
    <t>05:32:30.30</t>
  </si>
  <si>
    <t>PARISELLI</t>
  </si>
  <si>
    <t>05:32:34.20</t>
  </si>
  <si>
    <t>BOSIO</t>
  </si>
  <si>
    <t>GS GIALLOBLU</t>
  </si>
  <si>
    <t>05:32:38.10</t>
  </si>
  <si>
    <t>05:32:40.60</t>
  </si>
  <si>
    <t>NACCARATO</t>
  </si>
  <si>
    <t>ACIDO LATTICO TEAM</t>
  </si>
  <si>
    <t>05:32:43.10</t>
  </si>
  <si>
    <t>CARIANI</t>
  </si>
  <si>
    <t>05:32:48.10</t>
  </si>
  <si>
    <t>MAZZEGO</t>
  </si>
  <si>
    <t>05:32:50.80</t>
  </si>
  <si>
    <t>05:32:57.30</t>
  </si>
  <si>
    <t>GIBERTI</t>
  </si>
  <si>
    <t>05:33:02.00</t>
  </si>
  <si>
    <t>CATELLANI</t>
  </si>
  <si>
    <t>05:33:03.20</t>
  </si>
  <si>
    <t>GS AIDO AVIS LATINA</t>
  </si>
  <si>
    <t>05:33:04.30</t>
  </si>
  <si>
    <t>05:33:05.40</t>
  </si>
  <si>
    <t>MARZOLA</t>
  </si>
  <si>
    <t>CICLISTICA ERBESE</t>
  </si>
  <si>
    <t>05:33:07.20</t>
  </si>
  <si>
    <t>BIORDI</t>
  </si>
  <si>
    <t>05:33:11.30</t>
  </si>
  <si>
    <t>05:33:13.50</t>
  </si>
  <si>
    <t>05:33:17.30</t>
  </si>
  <si>
    <t>05:33:25.60</t>
  </si>
  <si>
    <t>PIANGERELLI</t>
  </si>
  <si>
    <t>05:33:27.20</t>
  </si>
  <si>
    <t>05:33:29.30</t>
  </si>
  <si>
    <t>05:33:30.10</t>
  </si>
  <si>
    <t>MENNA</t>
  </si>
  <si>
    <t>05:33:30.40</t>
  </si>
  <si>
    <t>RELLA</t>
  </si>
  <si>
    <t>05:33:36.40</t>
  </si>
  <si>
    <t>TAVECCHIO</t>
  </si>
  <si>
    <t>05:33:39.50</t>
  </si>
  <si>
    <t>05:33:41.90</t>
  </si>
  <si>
    <t>CANAZZA</t>
  </si>
  <si>
    <t>LORETTO</t>
  </si>
  <si>
    <t>05:33:45.00</t>
  </si>
  <si>
    <t>PIGOZZO</t>
  </si>
  <si>
    <t>05:33:46.40</t>
  </si>
  <si>
    <t>ROSEO</t>
  </si>
  <si>
    <t>PACIFICI</t>
  </si>
  <si>
    <t>05:33:51.30</t>
  </si>
  <si>
    <t>BRANDI</t>
  </si>
  <si>
    <t>05:33:52.30</t>
  </si>
  <si>
    <t>MIELE</t>
  </si>
  <si>
    <t>05:33:54.40</t>
  </si>
  <si>
    <t>COVI</t>
  </si>
  <si>
    <t>05:33:54.50</t>
  </si>
  <si>
    <t>CELLETTI</t>
  </si>
  <si>
    <t>05:34:00.60</t>
  </si>
  <si>
    <t>05:34:02.70</t>
  </si>
  <si>
    <t>TOTTI</t>
  </si>
  <si>
    <t>05:34:05.50</t>
  </si>
  <si>
    <t>CAPRARA</t>
  </si>
  <si>
    <t>05:34:07.60</t>
  </si>
  <si>
    <t>FANTINEL</t>
  </si>
  <si>
    <t>05:34:09.50</t>
  </si>
  <si>
    <t>SCARSO</t>
  </si>
  <si>
    <t>MARTINO</t>
  </si>
  <si>
    <t>GS ROMANO METALDENT</t>
  </si>
  <si>
    <t>05:34:10.10</t>
  </si>
  <si>
    <t>05:34:11.30</t>
  </si>
  <si>
    <t>VISMARA</t>
  </si>
  <si>
    <t>GS POIANI</t>
  </si>
  <si>
    <t>05:34:12.10</t>
  </si>
  <si>
    <t>SERVINI</t>
  </si>
  <si>
    <t>05:34:15.50</t>
  </si>
  <si>
    <t>DETTI</t>
  </si>
  <si>
    <t>05:34:18.70</t>
  </si>
  <si>
    <t>BONA</t>
  </si>
  <si>
    <t>RUGGERO</t>
  </si>
  <si>
    <t>SC CAPERGNANICA</t>
  </si>
  <si>
    <t>05:34:21.10</t>
  </si>
  <si>
    <t>DIAMANTI</t>
  </si>
  <si>
    <t>05:34:22.60</t>
  </si>
  <si>
    <t>05:34:28.10</t>
  </si>
  <si>
    <t>SUCCI</t>
  </si>
  <si>
    <t>05:34:30.50</t>
  </si>
  <si>
    <t>05:34:31.20</t>
  </si>
  <si>
    <t>05:34:31.30</t>
  </si>
  <si>
    <t>PERER</t>
  </si>
  <si>
    <t>05:34:32.10</t>
  </si>
  <si>
    <t>05:34:32.40</t>
  </si>
  <si>
    <t>BONEZZI</t>
  </si>
  <si>
    <t>ERMINIO</t>
  </si>
  <si>
    <t>05:34:33.40</t>
  </si>
  <si>
    <t>DALL'OLIO</t>
  </si>
  <si>
    <t>05:34:33.60</t>
  </si>
  <si>
    <t>05:34:34.60</t>
  </si>
  <si>
    <t>RUZZA</t>
  </si>
  <si>
    <t>05:34:35.20</t>
  </si>
  <si>
    <t>05:34:35.50</t>
  </si>
  <si>
    <t>05:34:36.20</t>
  </si>
  <si>
    <t>GIANNASI</t>
  </si>
  <si>
    <t>05:34:38.50</t>
  </si>
  <si>
    <t>RODA'</t>
  </si>
  <si>
    <t>05:34:38.70</t>
  </si>
  <si>
    <t>BRAGA</t>
  </si>
  <si>
    <t>05:34:40.20</t>
  </si>
  <si>
    <t>CALICETI</t>
  </si>
  <si>
    <t>05:34:42.10</t>
  </si>
  <si>
    <t>05:34:43.60</t>
  </si>
  <si>
    <t>CHOU</t>
  </si>
  <si>
    <t>05:34:46.10</t>
  </si>
  <si>
    <t>BONINCONTRO</t>
  </si>
  <si>
    <t>TEAM BIKE 2000</t>
  </si>
  <si>
    <t>05:34:49.90</t>
  </si>
  <si>
    <t>BUONSANTE</t>
  </si>
  <si>
    <t>05:34:53.70</t>
  </si>
  <si>
    <t>05:34:55.10</t>
  </si>
  <si>
    <t>DE COL</t>
  </si>
  <si>
    <t>05:34:56.20</t>
  </si>
  <si>
    <t>05:34:58.10</t>
  </si>
  <si>
    <t>FABRIS</t>
  </si>
  <si>
    <t>05:35:00.10</t>
  </si>
  <si>
    <t>BASTIANON</t>
  </si>
  <si>
    <t>05:35:01.20</t>
  </si>
  <si>
    <t>05:35:15.40</t>
  </si>
  <si>
    <t>GASSINO</t>
  </si>
  <si>
    <t>GS CICLOSPORT POGGIBONSI</t>
  </si>
  <si>
    <t>BERTAGNOLI</t>
  </si>
  <si>
    <t>05:35:27.60</t>
  </si>
  <si>
    <t>05:35:42.30</t>
  </si>
  <si>
    <t>05:35:47.60</t>
  </si>
  <si>
    <t>KORDECKY</t>
  </si>
  <si>
    <t>RUDOLF</t>
  </si>
  <si>
    <t>05:35:51.40</t>
  </si>
  <si>
    <t>NEGOSANTI</t>
  </si>
  <si>
    <t>05:36:02.60</t>
  </si>
  <si>
    <t>BROL</t>
  </si>
  <si>
    <t>05:36:05.70</t>
  </si>
  <si>
    <t>FRATTI</t>
  </si>
  <si>
    <t>05:36:06.40</t>
  </si>
  <si>
    <t>TACCONI</t>
  </si>
  <si>
    <t>05:36:13.30</t>
  </si>
  <si>
    <t>PEPI</t>
  </si>
  <si>
    <t>ASD CICLING TEAM COLLEFERRO</t>
  </si>
  <si>
    <t>05:36:18.20</t>
  </si>
  <si>
    <t>SPISNI</t>
  </si>
  <si>
    <t>05:36:19.00</t>
  </si>
  <si>
    <t>05:36:20.80</t>
  </si>
  <si>
    <t>05:36:47.40</t>
  </si>
  <si>
    <t>05:36:49.60</t>
  </si>
  <si>
    <t>05:36:51.60</t>
  </si>
  <si>
    <t>SCHIAVI</t>
  </si>
  <si>
    <t>GS CARRERA</t>
  </si>
  <si>
    <t>05:36:58.40</t>
  </si>
  <si>
    <t>05:37:00.40</t>
  </si>
  <si>
    <t>ASD AVIS RIMINI/BAR CARAMIA</t>
  </si>
  <si>
    <t>05:37:05.50</t>
  </si>
  <si>
    <t>05:37:12.10</t>
  </si>
  <si>
    <t>NEGRISOLI</t>
  </si>
  <si>
    <t>LAUREANO</t>
  </si>
  <si>
    <t>TORMATIC PED SET</t>
  </si>
  <si>
    <t>05:37:17.20</t>
  </si>
  <si>
    <t>05:37:24.70</t>
  </si>
  <si>
    <t>MASOLI</t>
  </si>
  <si>
    <t>CICLISTICA SALSESE</t>
  </si>
  <si>
    <t>05:37:27.00</t>
  </si>
  <si>
    <t>GS MTB 4 COLLI FORNO GUALERZI</t>
  </si>
  <si>
    <t>05:37:28.80</t>
  </si>
  <si>
    <t>UC  OLIMPIA CICLI MAROCCHI</t>
  </si>
  <si>
    <t>05:37:29.40</t>
  </si>
  <si>
    <t>BELLACCINI</t>
  </si>
  <si>
    <t>05:37:30.60</t>
  </si>
  <si>
    <t>PENTERICCI</t>
  </si>
  <si>
    <t>05:37:31.40</t>
  </si>
  <si>
    <t>CASTELLANI</t>
  </si>
  <si>
    <t>05:37:33.30</t>
  </si>
  <si>
    <t>FORTINO</t>
  </si>
  <si>
    <t>MTB CASENTINO</t>
  </si>
  <si>
    <t>05:37:34.20</t>
  </si>
  <si>
    <t>05:37:34.30</t>
  </si>
  <si>
    <t>SESTINI</t>
  </si>
  <si>
    <t>05:37:34.70</t>
  </si>
  <si>
    <t>BALDRATI</t>
  </si>
  <si>
    <t>05:37:35.00</t>
  </si>
  <si>
    <t>05:37:35.50</t>
  </si>
  <si>
    <t>BASAGNI</t>
  </si>
  <si>
    <t>IACOPO</t>
  </si>
  <si>
    <t>05:37:36.30</t>
  </si>
  <si>
    <t>NORCINI</t>
  </si>
  <si>
    <t>05:37:37.40</t>
  </si>
  <si>
    <t>CORUZZI</t>
  </si>
  <si>
    <t>ASD SPRINT BIKE</t>
  </si>
  <si>
    <t>05:37:50.70</t>
  </si>
  <si>
    <t>BRUSCOLI</t>
  </si>
  <si>
    <t>05:37:51.20</t>
  </si>
  <si>
    <t>ZINANI</t>
  </si>
  <si>
    <t>LAMBERTINI</t>
  </si>
  <si>
    <t>05:37:55.50</t>
  </si>
  <si>
    <t>LIOTTO</t>
  </si>
  <si>
    <t>05:37:57.30</t>
  </si>
  <si>
    <t>CHIESA</t>
  </si>
  <si>
    <t>GIORDANA</t>
  </si>
  <si>
    <t>05:38:05.10</t>
  </si>
  <si>
    <t>PIER ANGELO</t>
  </si>
  <si>
    <t>TEAM EXTREME</t>
  </si>
  <si>
    <t>05:38:06.20</t>
  </si>
  <si>
    <t>05:38:06.60</t>
  </si>
  <si>
    <t>ZOCCA</t>
  </si>
  <si>
    <t>05:38:16.30</t>
  </si>
  <si>
    <t>05:38:17.10</t>
  </si>
  <si>
    <t>PELLIZZER</t>
  </si>
  <si>
    <t>SERAFINO</t>
  </si>
  <si>
    <t>05:38:17.20</t>
  </si>
  <si>
    <t>BONOLLO</t>
  </si>
  <si>
    <t>05:38:19.70</t>
  </si>
  <si>
    <t>SEVESO</t>
  </si>
  <si>
    <t>CLUB CICLISTICO CANTURINO 1902</t>
  </si>
  <si>
    <t>05:38:20.40</t>
  </si>
  <si>
    <t>ZINI</t>
  </si>
  <si>
    <t>05:38:21.20</t>
  </si>
  <si>
    <t>ROGER</t>
  </si>
  <si>
    <t>05:38:29.30</t>
  </si>
  <si>
    <t>SUPERTINO</t>
  </si>
  <si>
    <t>FALCIONI</t>
  </si>
  <si>
    <t>05:38:31.60</t>
  </si>
  <si>
    <t>MININI</t>
  </si>
  <si>
    <t>05:38:32.30</t>
  </si>
  <si>
    <t>ADALBERTO</t>
  </si>
  <si>
    <t>SQUADRA CORSE MAPEI</t>
  </si>
  <si>
    <t>05:38:36.60</t>
  </si>
  <si>
    <t>BERTELEGNI</t>
  </si>
  <si>
    <t>05:38:39.90</t>
  </si>
  <si>
    <t>TINELLI</t>
  </si>
  <si>
    <t>05:38:43.60</t>
  </si>
  <si>
    <t>FELICE</t>
  </si>
  <si>
    <t>05:39:00.70</t>
  </si>
  <si>
    <t>BESCHIN</t>
  </si>
  <si>
    <t>GIANNINO</t>
  </si>
  <si>
    <t>05:39:16.30</t>
  </si>
  <si>
    <t>MATTALOTTI</t>
  </si>
  <si>
    <t>US PONTONI</t>
  </si>
  <si>
    <t>05:39:18.60</t>
  </si>
  <si>
    <t>PESTILLO</t>
  </si>
  <si>
    <t>05:39:22.20</t>
  </si>
  <si>
    <t>ZANCHI</t>
  </si>
  <si>
    <t>PIERANGELA</t>
  </si>
  <si>
    <t>05:39:26.70</t>
  </si>
  <si>
    <t>GAETANO</t>
  </si>
  <si>
    <t>A.D.C.ANTELAO</t>
  </si>
  <si>
    <t>05:39:28.40</t>
  </si>
  <si>
    <t>05:39:28.70</t>
  </si>
  <si>
    <t>BONALDI</t>
  </si>
  <si>
    <t>TX ACTIVE BIKE TEAM</t>
  </si>
  <si>
    <t>05:39:30.10</t>
  </si>
  <si>
    <t>BUCCELLA</t>
  </si>
  <si>
    <t>05:39:31.20</t>
  </si>
  <si>
    <t>FOEHN</t>
  </si>
  <si>
    <t>05:39:31.40</t>
  </si>
  <si>
    <t>MAGRINI</t>
  </si>
  <si>
    <t>05:39:38.60</t>
  </si>
  <si>
    <t>EDMONDO</t>
  </si>
  <si>
    <t>05:39:49.60</t>
  </si>
  <si>
    <t>DE FAZIO</t>
  </si>
  <si>
    <t>AMICI UDACE TRENTO</t>
  </si>
  <si>
    <t>05:39:50.10</t>
  </si>
  <si>
    <t>ROSADA</t>
  </si>
  <si>
    <t>05:39:50.20</t>
  </si>
  <si>
    <t>DONDI</t>
  </si>
  <si>
    <t>05:39:52.20</t>
  </si>
  <si>
    <t>ARCANGELO</t>
  </si>
  <si>
    <t>05:39:55.50</t>
  </si>
  <si>
    <t>BOLLETTA</t>
  </si>
  <si>
    <t>05:40:03.20</t>
  </si>
  <si>
    <t>ANNIGONI</t>
  </si>
  <si>
    <t>05:40:04.20</t>
  </si>
  <si>
    <t>CAMPOMAGNANI</t>
  </si>
  <si>
    <t>05:40:12.20</t>
  </si>
  <si>
    <t>05:40:22.00</t>
  </si>
  <si>
    <t>SORGATO</t>
  </si>
  <si>
    <t>05:40:22.70</t>
  </si>
  <si>
    <t>LANTIERI</t>
  </si>
  <si>
    <t>05:40:41.70</t>
  </si>
  <si>
    <t>FRASSON</t>
  </si>
  <si>
    <t>05:40:46.90</t>
  </si>
  <si>
    <t>CECCHINATO</t>
  </si>
  <si>
    <t>05:40:48.20</t>
  </si>
  <si>
    <t>05:40:52.50</t>
  </si>
  <si>
    <t>MAZZAROLO</t>
  </si>
  <si>
    <t>05:41:02.40</t>
  </si>
  <si>
    <t>DI LILLO</t>
  </si>
  <si>
    <t>05:41:08.10</t>
  </si>
  <si>
    <t>05:41:10.10</t>
  </si>
  <si>
    <t>PERILLO</t>
  </si>
  <si>
    <t>05:41:25.60</t>
  </si>
  <si>
    <t>DELL'OCA</t>
  </si>
  <si>
    <t>VC LENTATESE</t>
  </si>
  <si>
    <t>05:41:31.30</t>
  </si>
  <si>
    <t>05:41:36.20</t>
  </si>
  <si>
    <t>MALLEGNI</t>
  </si>
  <si>
    <t>05:41:37.10</t>
  </si>
  <si>
    <t>LUNARDI</t>
  </si>
  <si>
    <t>GRUPPO CICLISTICO VALSANZIBIO</t>
  </si>
  <si>
    <t>05:41:40.40</t>
  </si>
  <si>
    <t>ALVISI</t>
  </si>
  <si>
    <t>05:41:41.30</t>
  </si>
  <si>
    <t>BORELLI</t>
  </si>
  <si>
    <t>05:41:44.20</t>
  </si>
  <si>
    <t>CORRADI</t>
  </si>
  <si>
    <t>DIMES</t>
  </si>
  <si>
    <t>COLLI CICLI</t>
  </si>
  <si>
    <t>05:41:45.10</t>
  </si>
  <si>
    <t>05:41:55.50</t>
  </si>
  <si>
    <t>MILAN</t>
  </si>
  <si>
    <t>BRUNO LANFRANCO</t>
  </si>
  <si>
    <t>05:42:05.10</t>
  </si>
  <si>
    <t>NUGNES</t>
  </si>
  <si>
    <t>05:42:07.60</t>
  </si>
  <si>
    <t>ELISEO</t>
  </si>
  <si>
    <t>GC BINAGO</t>
  </si>
  <si>
    <t>05:42:25.20</t>
  </si>
  <si>
    <t>BORDONI</t>
  </si>
  <si>
    <t>05:42:30.10</t>
  </si>
  <si>
    <t>05:42:36.10</t>
  </si>
  <si>
    <t>BONSIGNORE</t>
  </si>
  <si>
    <t>ASD SPINETTESE</t>
  </si>
  <si>
    <t>05:43:00.89</t>
  </si>
  <si>
    <t>IURI</t>
  </si>
  <si>
    <t>05:43:04.30</t>
  </si>
  <si>
    <t>ELEONORA</t>
  </si>
  <si>
    <t>05:43:04.50</t>
  </si>
  <si>
    <t>05:43:04.80</t>
  </si>
  <si>
    <t>05:43:05.70</t>
  </si>
  <si>
    <t>05:43:06.00</t>
  </si>
  <si>
    <t>05:43:07.20</t>
  </si>
  <si>
    <t>CANNELLA</t>
  </si>
  <si>
    <t>SC ROSTESE</t>
  </si>
  <si>
    <t>05:43:19.40</t>
  </si>
  <si>
    <t>ORIANO</t>
  </si>
  <si>
    <t>05:43:40.90</t>
  </si>
  <si>
    <t>MACCOLINI</t>
  </si>
  <si>
    <t>05:43:42.20</t>
  </si>
  <si>
    <t>LO PICCOLO</t>
  </si>
  <si>
    <t>05:43:56.60</t>
  </si>
  <si>
    <t>05:44:07.30</t>
  </si>
  <si>
    <t>ZERBIN</t>
  </si>
  <si>
    <t>05:44:12.20</t>
  </si>
  <si>
    <t>FINOTELLO</t>
  </si>
  <si>
    <t>05:44:17.10</t>
  </si>
  <si>
    <t>LAURO</t>
  </si>
  <si>
    <t>SPADIN</t>
  </si>
  <si>
    <t>05:44:19.10</t>
  </si>
  <si>
    <t>RISONI</t>
  </si>
  <si>
    <t>05:44:20.00</t>
  </si>
  <si>
    <t>05:44:20.10</t>
  </si>
  <si>
    <t>05:44:21.60</t>
  </si>
  <si>
    <t>05:44:22.10</t>
  </si>
  <si>
    <t>05:44:33.70</t>
  </si>
  <si>
    <t>GIULIODORI</t>
  </si>
  <si>
    <t>05:44:44.40</t>
  </si>
  <si>
    <t>05:44:46.10</t>
  </si>
  <si>
    <t>BEDESCHI</t>
  </si>
  <si>
    <t>05:44:55.70</t>
  </si>
  <si>
    <t>VEZZALI</t>
  </si>
  <si>
    <t>05:45:10.30</t>
  </si>
  <si>
    <t>CANTALUPI</t>
  </si>
  <si>
    <t>05:45:17.30</t>
  </si>
  <si>
    <t>FRANZOSO</t>
  </si>
  <si>
    <t>05:45:22.20</t>
  </si>
  <si>
    <t>RAVAGLI</t>
  </si>
  <si>
    <t>05:45:29.20</t>
  </si>
  <si>
    <t>05:45:30.30</t>
  </si>
  <si>
    <t>TOLOMEI</t>
  </si>
  <si>
    <t>05:45:35.80</t>
  </si>
  <si>
    <t>05:45:53.20</t>
  </si>
  <si>
    <t>CARDIN</t>
  </si>
  <si>
    <t>05:46:12.30</t>
  </si>
  <si>
    <t>05:46:14.20</t>
  </si>
  <si>
    <t>ARESI</t>
  </si>
  <si>
    <t>EMILIO</t>
  </si>
  <si>
    <t>05:46:20.30</t>
  </si>
  <si>
    <t>NAVA</t>
  </si>
  <si>
    <t>GS AMICI COMASCHI DEL CICLISMO</t>
  </si>
  <si>
    <t>05:46:21.10</t>
  </si>
  <si>
    <t>CAMORANI</t>
  </si>
  <si>
    <t>AMICI DI MARCO PANTANI</t>
  </si>
  <si>
    <t>05:46:23.60</t>
  </si>
  <si>
    <t>VEZZONI</t>
  </si>
  <si>
    <t>05:46:38.20</t>
  </si>
  <si>
    <t>05:46:39.00</t>
  </si>
  <si>
    <t>MENCHINI</t>
  </si>
  <si>
    <t>05:46:39.10</t>
  </si>
  <si>
    <t>PEZZINI</t>
  </si>
  <si>
    <t>05:46:45.20</t>
  </si>
  <si>
    <t>GS MORBIDELLI CYCLING</t>
  </si>
  <si>
    <t>05:46:56.40</t>
  </si>
  <si>
    <t>05:46:59.10</t>
  </si>
  <si>
    <t>IODICE</t>
  </si>
  <si>
    <t>05:47:06.20</t>
  </si>
  <si>
    <t>05:47:16.10</t>
  </si>
  <si>
    <t>GALANTINI</t>
  </si>
  <si>
    <t>VANES</t>
  </si>
  <si>
    <t>05:47:17.10</t>
  </si>
  <si>
    <t>FORO'</t>
  </si>
  <si>
    <t>05:47:26.50</t>
  </si>
  <si>
    <t>NEGRI</t>
  </si>
  <si>
    <t>05:47:28.00</t>
  </si>
  <si>
    <t>05:47:33.00</t>
  </si>
  <si>
    <t>BICI CLUB TICINO</t>
  </si>
  <si>
    <t>05:48:30.10</t>
  </si>
  <si>
    <t>05:48:57.10</t>
  </si>
  <si>
    <t>05:48:57.90</t>
  </si>
  <si>
    <t>BERGONZONI</t>
  </si>
  <si>
    <t>05:49:07.40</t>
  </si>
  <si>
    <t>05:49:09.60</t>
  </si>
  <si>
    <t>GALEAZZI</t>
  </si>
  <si>
    <t>05:49:17.30</t>
  </si>
  <si>
    <t>MELAI</t>
  </si>
  <si>
    <t>05:49:17.70</t>
  </si>
  <si>
    <t>MAYR</t>
  </si>
  <si>
    <t>ATHLETIC CLUB MERANO</t>
  </si>
  <si>
    <t>05:49:23.40</t>
  </si>
  <si>
    <t>05:49:34.20</t>
  </si>
  <si>
    <t>VESPRINI</t>
  </si>
  <si>
    <t>ASD PLANET FITNESS</t>
  </si>
  <si>
    <t>05:49:37.40</t>
  </si>
  <si>
    <t>CARLANTONI</t>
  </si>
  <si>
    <t>05:49:45.30</t>
  </si>
  <si>
    <t>05:49:48.20</t>
  </si>
  <si>
    <t>ROBBIANO</t>
  </si>
  <si>
    <t>05:50:04.10</t>
  </si>
  <si>
    <t>ORSANIGO</t>
  </si>
  <si>
    <t>GOOD BIKE TEAM</t>
  </si>
  <si>
    <t>05:50:45.60</t>
  </si>
  <si>
    <t>TISO</t>
  </si>
  <si>
    <t>ASD OMBRE BIANCOROSSE C</t>
  </si>
  <si>
    <t>05:51:19.30</t>
  </si>
  <si>
    <t>BISI</t>
  </si>
  <si>
    <t>05:52:58.10</t>
  </si>
  <si>
    <t>MERIO</t>
  </si>
  <si>
    <t>05:53:05.40</t>
  </si>
  <si>
    <t>05:53:13.50</t>
  </si>
  <si>
    <t>VALLE</t>
  </si>
  <si>
    <t>TEAM TRE-BI RBK</t>
  </si>
  <si>
    <t>05:53:21.30</t>
  </si>
  <si>
    <t>05:53:22.70</t>
  </si>
  <si>
    <t>DEBORAH</t>
  </si>
  <si>
    <t>05:53:28.40</t>
  </si>
  <si>
    <t>BRONZETTI</t>
  </si>
  <si>
    <t>05:53:30.00</t>
  </si>
  <si>
    <t>WINKLER</t>
  </si>
  <si>
    <t>ASD SQUADRA CORSE PREALPI</t>
  </si>
  <si>
    <t>05:53:33.30</t>
  </si>
  <si>
    <t>CARUGATI</t>
  </si>
  <si>
    <t>GS GARBAGNATESE</t>
  </si>
  <si>
    <t>05:53:37.40</t>
  </si>
  <si>
    <t>BOCCOLARI</t>
  </si>
  <si>
    <t>05:53:39.80</t>
  </si>
  <si>
    <t>PALMIERI</t>
  </si>
  <si>
    <t>05:53:43.40</t>
  </si>
  <si>
    <t>STELLA</t>
  </si>
  <si>
    <t>05:53:51.10</t>
  </si>
  <si>
    <t>FREGOSI</t>
  </si>
  <si>
    <t>05:53:56.10</t>
  </si>
  <si>
    <t>05:54:04.10</t>
  </si>
  <si>
    <t>BOSCARIN</t>
  </si>
  <si>
    <t>05:54:06.70</t>
  </si>
  <si>
    <t>PITTILINI</t>
  </si>
  <si>
    <t>05:54:18.20</t>
  </si>
  <si>
    <t>PARO</t>
  </si>
  <si>
    <t>TEAM BICI E BIKE</t>
  </si>
  <si>
    <t>05:54:18.60</t>
  </si>
  <si>
    <t>PARTEMI</t>
  </si>
  <si>
    <t>05:54:21.00</t>
  </si>
  <si>
    <t>GERVASI</t>
  </si>
  <si>
    <t>05:54:29.50</t>
  </si>
  <si>
    <t>GIANNOTTI</t>
  </si>
  <si>
    <t>IO BICI ASD</t>
  </si>
  <si>
    <t>05:54:35.80</t>
  </si>
  <si>
    <t>ROMANI</t>
  </si>
  <si>
    <t>05:54:36.10</t>
  </si>
  <si>
    <t>05:54:46.40</t>
  </si>
  <si>
    <t>DLF FORLI'</t>
  </si>
  <si>
    <t>05:54:54.40</t>
  </si>
  <si>
    <t>05:54:54.50</t>
  </si>
  <si>
    <t>05:55:02.40</t>
  </si>
  <si>
    <t>RAMPINELLI</t>
  </si>
  <si>
    <t>GIOVANNI LUCA</t>
  </si>
  <si>
    <t>05:55:10.00</t>
  </si>
  <si>
    <t>APPOCHER</t>
  </si>
  <si>
    <t>ISIDORO</t>
  </si>
  <si>
    <t>05:55:11.20</t>
  </si>
  <si>
    <t>ALBARANI</t>
  </si>
  <si>
    <t>05:55:24.70</t>
  </si>
  <si>
    <t>VASINI</t>
  </si>
  <si>
    <t>05:55:26.50</t>
  </si>
  <si>
    <t>NICOSANTI</t>
  </si>
  <si>
    <t>05:55:31.50</t>
  </si>
  <si>
    <t>ZINETTI</t>
  </si>
  <si>
    <t>CICL.CASAZZA</t>
  </si>
  <si>
    <t>05:55:33.00</t>
  </si>
  <si>
    <t>05:55:36.30</t>
  </si>
  <si>
    <t>SONCINI</t>
  </si>
  <si>
    <t>MATTHIAS</t>
  </si>
  <si>
    <t>PIERFRANCESCO</t>
  </si>
  <si>
    <t>05:55:36.40</t>
  </si>
  <si>
    <t>BERGONZINI</t>
  </si>
  <si>
    <t>05:55:37.10</t>
  </si>
  <si>
    <t>05:55:37.40</t>
  </si>
  <si>
    <t>BACCHELLI</t>
  </si>
  <si>
    <t>05:55:39.20</t>
  </si>
  <si>
    <t>SEMBOLONI</t>
  </si>
  <si>
    <t>DUCCIO</t>
  </si>
  <si>
    <t>05:55:43.10</t>
  </si>
  <si>
    <t>CERBONI</t>
  </si>
  <si>
    <t>05:55:50.10</t>
  </si>
  <si>
    <t>SOLFRINI</t>
  </si>
  <si>
    <t>05:56:02.20</t>
  </si>
  <si>
    <t>GIBERTONI</t>
  </si>
  <si>
    <t>05:56:07.80</t>
  </si>
  <si>
    <t>NENCIOLI</t>
  </si>
  <si>
    <t>05:56:13.70</t>
  </si>
  <si>
    <t>NISTRI</t>
  </si>
  <si>
    <t>05:56:14.30</t>
  </si>
  <si>
    <t>VILARDI</t>
  </si>
  <si>
    <t>05:56:20.10</t>
  </si>
  <si>
    <t>ROGERO</t>
  </si>
  <si>
    <t>05:56:20.60</t>
  </si>
  <si>
    <t>05:56:21.40</t>
  </si>
  <si>
    <t>SCALELLA</t>
  </si>
  <si>
    <t>05:56:26.10</t>
  </si>
  <si>
    <t>BUSSEI</t>
  </si>
  <si>
    <t>05:56:27.50</t>
  </si>
  <si>
    <t>CODE CHIP 50008374</t>
  </si>
  <si>
    <t>05:56:39.20</t>
  </si>
  <si>
    <t>LABRUZZO</t>
  </si>
  <si>
    <t>05:56:39.40</t>
  </si>
  <si>
    <t>05:56:42.50</t>
  </si>
  <si>
    <t>GOLFARINI</t>
  </si>
  <si>
    <t>05:56:43.60</t>
  </si>
  <si>
    <t>NASSI</t>
  </si>
  <si>
    <t>05:56:46.40</t>
  </si>
  <si>
    <t>05:56:47.10</t>
  </si>
  <si>
    <t>SCARPA</t>
  </si>
  <si>
    <t>05:56:53.20</t>
  </si>
  <si>
    <t>FORTI</t>
  </si>
  <si>
    <t>05:57:04.70</t>
  </si>
  <si>
    <t>GAROFALO</t>
  </si>
  <si>
    <t>ASD CICLO CLUB "C.PAPA"</t>
  </si>
  <si>
    <t>05:57:18.30</t>
  </si>
  <si>
    <t>05:57:18.60</t>
  </si>
  <si>
    <t>SANTILLO</t>
  </si>
  <si>
    <t>05:57:22.20</t>
  </si>
  <si>
    <t>ZEN</t>
  </si>
  <si>
    <t>05:57:28.70</t>
  </si>
  <si>
    <t>BAR ZION</t>
  </si>
  <si>
    <t>ZAMIR</t>
  </si>
  <si>
    <t>05:57:32.10</t>
  </si>
  <si>
    <t>PIRAZZINI</t>
  </si>
  <si>
    <t>YOUNG LINE</t>
  </si>
  <si>
    <t>05:57:34.10</t>
  </si>
  <si>
    <t>USD SPINESE</t>
  </si>
  <si>
    <t>05:57:36.40</t>
  </si>
  <si>
    <t>05:57:36.80</t>
  </si>
  <si>
    <t>MERCATELLI</t>
  </si>
  <si>
    <t>05:57:37.20</t>
  </si>
  <si>
    <t>CIVIERO</t>
  </si>
  <si>
    <t>05:57:55.70</t>
  </si>
  <si>
    <t>BERNUCCI</t>
  </si>
  <si>
    <t>05:57:57.20</t>
  </si>
  <si>
    <t>05:58:07.00</t>
  </si>
  <si>
    <t>GRAVINA</t>
  </si>
  <si>
    <t>05:58:09.70</t>
  </si>
  <si>
    <t>05:58:15.00</t>
  </si>
  <si>
    <t>BEGGIATO</t>
  </si>
  <si>
    <t>GS IMASAF PADOVA</t>
  </si>
  <si>
    <t>05:58:15.10</t>
  </si>
  <si>
    <t>SAVIGNANO</t>
  </si>
  <si>
    <t>05:58:31.10</t>
  </si>
  <si>
    <t>PADERNO</t>
  </si>
  <si>
    <t>05:58:33.60</t>
  </si>
  <si>
    <t>05:58:48.20</t>
  </si>
  <si>
    <t>CASCHETTO</t>
  </si>
  <si>
    <t>05:58:59.20</t>
  </si>
  <si>
    <t>DENARO</t>
  </si>
  <si>
    <t>05:59:01.20</t>
  </si>
  <si>
    <t>GUIZZO</t>
  </si>
  <si>
    <t>MONTEBELLUNA</t>
  </si>
  <si>
    <t>05:59:18.50</t>
  </si>
  <si>
    <t>BOLZONELLO</t>
  </si>
  <si>
    <t>05:59:18.80</t>
  </si>
  <si>
    <t>FERRISE</t>
  </si>
  <si>
    <t>05:59:31.20</t>
  </si>
  <si>
    <t>DI GIOVANNA</t>
  </si>
  <si>
    <t>LEONI ALATI</t>
  </si>
  <si>
    <t>05:59:46.90</t>
  </si>
  <si>
    <t>06:00:00.40</t>
  </si>
  <si>
    <t>06:00:16.10</t>
  </si>
  <si>
    <t>BONVICINI</t>
  </si>
  <si>
    <t>06:00:18.70</t>
  </si>
  <si>
    <t>BERNIERI</t>
  </si>
  <si>
    <t>06:00:26.40</t>
  </si>
  <si>
    <t>FRANCESIA</t>
  </si>
  <si>
    <t>06:00:51.00</t>
  </si>
  <si>
    <t>06:00:59.50</t>
  </si>
  <si>
    <t>DASSANI</t>
  </si>
  <si>
    <t>TEAM SCOTT ETICA'S</t>
  </si>
  <si>
    <t>06:01:00.60</t>
  </si>
  <si>
    <t>06:01:13.40</t>
  </si>
  <si>
    <t>CHIAPPINI</t>
  </si>
  <si>
    <t>06:01:20.40</t>
  </si>
  <si>
    <t>ROSCINI VITALI</t>
  </si>
  <si>
    <t>ASD UMBRA GROUP RACING</t>
  </si>
  <si>
    <t>06:01:25.00</t>
  </si>
  <si>
    <t>MALAGOLI</t>
  </si>
  <si>
    <t>06:01:30.30</t>
  </si>
  <si>
    <t>06:01:38.20</t>
  </si>
  <si>
    <t>06:01:38.60</t>
  </si>
  <si>
    <t>MUZZARELLI</t>
  </si>
  <si>
    <t>06:01:39.60</t>
  </si>
  <si>
    <t>VELARDO</t>
  </si>
  <si>
    <t>06:01:47.00</t>
  </si>
  <si>
    <t>CAPOZZO</t>
  </si>
  <si>
    <t>SOCIETA' CICLISTICA  CASAMASSIMA</t>
  </si>
  <si>
    <t>06:01:47.20</t>
  </si>
  <si>
    <t>MAZZI</t>
  </si>
  <si>
    <t>FLORIO TEAM VELOSPORT CARPI</t>
  </si>
  <si>
    <t>06:01:49.50</t>
  </si>
  <si>
    <t>RIGO</t>
  </si>
  <si>
    <t>SC VICENZA SAN PIO X</t>
  </si>
  <si>
    <t>06:01:53.10</t>
  </si>
  <si>
    <t>MISSIROLI</t>
  </si>
  <si>
    <t>06:01:55.50</t>
  </si>
  <si>
    <t>06:01:56.30</t>
  </si>
  <si>
    <t>TEAM PIANETA FRUTTA</t>
  </si>
  <si>
    <t>06:01:56.40</t>
  </si>
  <si>
    <t>DEGANELLO</t>
  </si>
  <si>
    <t>CD BANCA POPOLARE DI VICENZA</t>
  </si>
  <si>
    <t>06:02:06.30</t>
  </si>
  <si>
    <t>06:02:07.80</t>
  </si>
  <si>
    <t>BRANCHETTI</t>
  </si>
  <si>
    <t>06:02:08.20</t>
  </si>
  <si>
    <t>FREGI</t>
  </si>
  <si>
    <t>06:02:38.30</t>
  </si>
  <si>
    <t>GABBANINI</t>
  </si>
  <si>
    <t>PED. CESENATE CICL.NERI</t>
  </si>
  <si>
    <t>06:02:40.40</t>
  </si>
  <si>
    <t>ANDREONI</t>
  </si>
  <si>
    <t>GS CICLI CASATI</t>
  </si>
  <si>
    <t>06:02:50.20</t>
  </si>
  <si>
    <t>MUTTERLE</t>
  </si>
  <si>
    <t>06:03:32.60</t>
  </si>
  <si>
    <t>PATRIGNANI</t>
  </si>
  <si>
    <t>06:03:35.60</t>
  </si>
  <si>
    <t>06:03:37.40</t>
  </si>
  <si>
    <t>06:03:45.30</t>
  </si>
  <si>
    <t>06:03:46.30</t>
  </si>
  <si>
    <t>CRESCENZO</t>
  </si>
  <si>
    <t>06:04:04.00</t>
  </si>
  <si>
    <t>06:04:10.10</t>
  </si>
  <si>
    <t>NADIR</t>
  </si>
  <si>
    <t>SC VERBANIA FOTOCINE COFAN</t>
  </si>
  <si>
    <t>06:04:12.10</t>
  </si>
  <si>
    <t>MIUZZO</t>
  </si>
  <si>
    <t>MELINDA</t>
  </si>
  <si>
    <t>06:04:15.10</t>
  </si>
  <si>
    <t>CURTO</t>
  </si>
  <si>
    <t>06:04:15.40</t>
  </si>
  <si>
    <t>MORIGI</t>
  </si>
  <si>
    <t>POL S ANDREA IN BAGNOLO</t>
  </si>
  <si>
    <t>06:04:19.10</t>
  </si>
  <si>
    <t>ANTONIACCI</t>
  </si>
  <si>
    <t>06:04:20.90</t>
  </si>
  <si>
    <t>SANTACCHI</t>
  </si>
  <si>
    <t>06:04:21.80</t>
  </si>
  <si>
    <t>PALAZZINI</t>
  </si>
  <si>
    <t>06:04:42.80</t>
  </si>
  <si>
    <t>06:04:43.60</t>
  </si>
  <si>
    <t>CUTRUPI</t>
  </si>
  <si>
    <t>06:05:01.20</t>
  </si>
  <si>
    <t>MANARA</t>
  </si>
  <si>
    <t>06:05:01.70</t>
  </si>
  <si>
    <t>BRESSAGLIA</t>
  </si>
  <si>
    <t>06:05:07.60</t>
  </si>
  <si>
    <t>VINCI</t>
  </si>
  <si>
    <t>06:05:10.10</t>
  </si>
  <si>
    <t>MATHA</t>
  </si>
  <si>
    <t>06:05:27.60</t>
  </si>
  <si>
    <t>RACCAMARI</t>
  </si>
  <si>
    <t>06:05:30.20</t>
  </si>
  <si>
    <t>06:05:31.00</t>
  </si>
  <si>
    <t>06:05:32.40</t>
  </si>
  <si>
    <t>PICCOLI</t>
  </si>
  <si>
    <t>GALLIANO</t>
  </si>
  <si>
    <t>06:05:32.50</t>
  </si>
  <si>
    <t>06:05:38.60</t>
  </si>
  <si>
    <t>GATTA</t>
  </si>
  <si>
    <t>US LIBERTAS 1911</t>
  </si>
  <si>
    <t>06:05:51.60</t>
  </si>
  <si>
    <t>VENTUROLI</t>
  </si>
  <si>
    <t>06:06:01.00</t>
  </si>
  <si>
    <t>LIBANORO</t>
  </si>
  <si>
    <t>06:06:20.10</t>
  </si>
  <si>
    <t>PAJETTA</t>
  </si>
  <si>
    <t>BICI BIKE 93</t>
  </si>
  <si>
    <t>06:06:54.40</t>
  </si>
  <si>
    <t>DEL CAMPO</t>
  </si>
  <si>
    <t>BIAGIO</t>
  </si>
  <si>
    <t>06:07:11.00</t>
  </si>
  <si>
    <t>BENEVELLI</t>
  </si>
  <si>
    <t>06:07:13.30</t>
  </si>
  <si>
    <t>TORRICELLI</t>
  </si>
  <si>
    <t>GIANANTONIO</t>
  </si>
  <si>
    <t>06:07:15.00</t>
  </si>
  <si>
    <t>06:07:27.50</t>
  </si>
  <si>
    <t>06:07:35.30</t>
  </si>
  <si>
    <t>HERMES</t>
  </si>
  <si>
    <t>06:07:45.40</t>
  </si>
  <si>
    <t>TORREGIANI</t>
  </si>
  <si>
    <t>06:07:54.40</t>
  </si>
  <si>
    <t>TASSONI</t>
  </si>
  <si>
    <t>06:08:03.50</t>
  </si>
  <si>
    <t>CHELARIU</t>
  </si>
  <si>
    <t>VANCA</t>
  </si>
  <si>
    <t>06:08:18.30</t>
  </si>
  <si>
    <t>PRINCIC</t>
  </si>
  <si>
    <t>UNIONE CICLISTI CAPRIVESI</t>
  </si>
  <si>
    <t>06:08:31.10</t>
  </si>
  <si>
    <t>06:08:31.90</t>
  </si>
  <si>
    <t>06:08:41.40</t>
  </si>
  <si>
    <t>LANCINI</t>
  </si>
  <si>
    <t>06:08:46.00</t>
  </si>
  <si>
    <t>ROHWER</t>
  </si>
  <si>
    <t>OLE</t>
  </si>
  <si>
    <t>06:09:01.20</t>
  </si>
  <si>
    <t>06:09:02.60</t>
  </si>
  <si>
    <t>SANDRO CLAUDIO</t>
  </si>
  <si>
    <t>06:09:03.30</t>
  </si>
  <si>
    <t>06:09:04.20</t>
  </si>
  <si>
    <t>FERRERIO</t>
  </si>
  <si>
    <t>BATTISTA</t>
  </si>
  <si>
    <t>06:09:06.30</t>
  </si>
  <si>
    <t>CARCANO</t>
  </si>
  <si>
    <t>06:09:19.40</t>
  </si>
  <si>
    <t>06:09:22.00</t>
  </si>
  <si>
    <t>CARNIEL</t>
  </si>
  <si>
    <t>06:09:26.30</t>
  </si>
  <si>
    <t>MAIORINO</t>
  </si>
  <si>
    <t>06:10:17.00</t>
  </si>
  <si>
    <t>GIANAROLI</t>
  </si>
  <si>
    <t>06:10:42.70</t>
  </si>
  <si>
    <t>06:10:46.40</t>
  </si>
  <si>
    <t>BONAZZI</t>
  </si>
  <si>
    <t>06:11:07.30</t>
  </si>
  <si>
    <t>SOLINAS</t>
  </si>
  <si>
    <t>COSTANTINO</t>
  </si>
  <si>
    <t>GS GORGONZOLA MONTI</t>
  </si>
  <si>
    <t>06:11:41.30</t>
  </si>
  <si>
    <t>FELICE FRANCESCO</t>
  </si>
  <si>
    <t>APD CIOCIARIA BIKE</t>
  </si>
  <si>
    <t>06:11:48.40</t>
  </si>
  <si>
    <t>DA ROLD</t>
  </si>
  <si>
    <t>06:12:08.50</t>
  </si>
  <si>
    <t>DIANA PINKY</t>
  </si>
  <si>
    <t>06:12:09.40</t>
  </si>
  <si>
    <t>06:12:11.10</t>
  </si>
  <si>
    <t>COMBE</t>
  </si>
  <si>
    <t>JOHN ROBERT</t>
  </si>
  <si>
    <t>POL.VA PANIGHINA</t>
  </si>
  <si>
    <t>06:13:31.30</t>
  </si>
  <si>
    <t>BARTOLOMEI</t>
  </si>
  <si>
    <t>06:13:35.40</t>
  </si>
  <si>
    <t>BIAGIOTTI</t>
  </si>
  <si>
    <t>06:13:36.40</t>
  </si>
  <si>
    <t>GIANELLO</t>
  </si>
  <si>
    <t>06:13:41.30</t>
  </si>
  <si>
    <t>MAZZARA</t>
  </si>
  <si>
    <t>06:14:34.10</t>
  </si>
  <si>
    <t>06:14:37.10</t>
  </si>
  <si>
    <t>DE MARIANO</t>
  </si>
  <si>
    <t>06:14:47.70</t>
  </si>
  <si>
    <t>ZUCCHELLI</t>
  </si>
  <si>
    <t>06:15:10.10</t>
  </si>
  <si>
    <t>CECCHIN</t>
  </si>
  <si>
    <t>TEAM ORO GILDO</t>
  </si>
  <si>
    <t>06:15:45.40</t>
  </si>
  <si>
    <t>BORIOSI</t>
  </si>
  <si>
    <t>06:15:53.50</t>
  </si>
  <si>
    <t>PIER GIORGIO</t>
  </si>
  <si>
    <t>06:16:04.20</t>
  </si>
  <si>
    <t>06:16:53.10</t>
  </si>
  <si>
    <t>06:16:58.00</t>
  </si>
  <si>
    <t>RAVELLO</t>
  </si>
  <si>
    <t>06:17:01.50</t>
  </si>
  <si>
    <t>HURLE</t>
  </si>
  <si>
    <t>06:17:12.80</t>
  </si>
  <si>
    <t>06:17:35.10</t>
  </si>
  <si>
    <t>TANZI</t>
  </si>
  <si>
    <t>GS ARBI BABY BUSNAGO</t>
  </si>
  <si>
    <t>06:17:36.20</t>
  </si>
  <si>
    <t>FERRINI</t>
  </si>
  <si>
    <t>06:17:57.20</t>
  </si>
  <si>
    <t>MUGHETTI</t>
  </si>
  <si>
    <t>06:17:59.20</t>
  </si>
  <si>
    <t>REBESCHIN</t>
  </si>
  <si>
    <t>GS KROM</t>
  </si>
  <si>
    <t>06:18:23.30</t>
  </si>
  <si>
    <t>06:18:24.00</t>
  </si>
  <si>
    <t>TAVANI</t>
  </si>
  <si>
    <t>06:18:26.30</t>
  </si>
  <si>
    <t>CAFAGGI</t>
  </si>
  <si>
    <t>06:18:41.60</t>
  </si>
  <si>
    <t>06:19:58.90</t>
  </si>
  <si>
    <t>PANNULLO</t>
  </si>
  <si>
    <t>SUSI</t>
  </si>
  <si>
    <t>06:19:59.90</t>
  </si>
  <si>
    <t>PRECISVALLE</t>
  </si>
  <si>
    <t>06:20:07.40</t>
  </si>
  <si>
    <t>06:20:08.30</t>
  </si>
  <si>
    <t>VIGNOLO</t>
  </si>
  <si>
    <t>ANDREA MARIO</t>
  </si>
  <si>
    <t>CYCLING LAVAGNA</t>
  </si>
  <si>
    <t>06:20:40.50</t>
  </si>
  <si>
    <t>BARESI</t>
  </si>
  <si>
    <t>06:21:07.20</t>
  </si>
  <si>
    <t>RAFFAELLI</t>
  </si>
  <si>
    <t>CICLO TEAM 2001</t>
  </si>
  <si>
    <t>06:21:33.40</t>
  </si>
  <si>
    <t>06:21:36.20</t>
  </si>
  <si>
    <t>EUSEBI</t>
  </si>
  <si>
    <t>06:21:41.20</t>
  </si>
  <si>
    <t>06:21:50.10</t>
  </si>
  <si>
    <t>BIGAGLI GIACCHINI</t>
  </si>
  <si>
    <t>06:21:50.30</t>
  </si>
  <si>
    <t>NEROZZI</t>
  </si>
  <si>
    <t>06:22:13.20</t>
  </si>
  <si>
    <t>SPONGA</t>
  </si>
  <si>
    <t>06:22:15.90</t>
  </si>
  <si>
    <t>06:22:16.70</t>
  </si>
  <si>
    <t>06:22:16.90</t>
  </si>
  <si>
    <t>ASD GENTLEMEN TRIESTE</t>
  </si>
  <si>
    <t>06:22:18.00</t>
  </si>
  <si>
    <t>06:22:36.10</t>
  </si>
  <si>
    <t>PASCOLO</t>
  </si>
  <si>
    <t>A.S.D.STAR BIKE RACING TEAM</t>
  </si>
  <si>
    <t>06:22:41.20</t>
  </si>
  <si>
    <t>BANZI</t>
  </si>
  <si>
    <t>06:23:04.40</t>
  </si>
  <si>
    <t>PAOLI</t>
  </si>
  <si>
    <t>06:23:12.50</t>
  </si>
  <si>
    <t>BARUZZI</t>
  </si>
  <si>
    <t>06:23:26.30</t>
  </si>
  <si>
    <t>ZANASI</t>
  </si>
  <si>
    <t>ASD AVIS SAN CESARIO</t>
  </si>
  <si>
    <t>06:23:28.20</t>
  </si>
  <si>
    <t>DI EMIDIO</t>
  </si>
  <si>
    <t>06:23:58.10</t>
  </si>
  <si>
    <t>BIKERS FOR EVER</t>
  </si>
  <si>
    <t>06:24:12.50</t>
  </si>
  <si>
    <t>POLPETTA</t>
  </si>
  <si>
    <t>06:24:19.60</t>
  </si>
  <si>
    <t>CAGGIANO</t>
  </si>
  <si>
    <t>VITO NICOLA</t>
  </si>
  <si>
    <t>06:25:01.30</t>
  </si>
  <si>
    <t>DI LEVA</t>
  </si>
  <si>
    <t>06:25:16.00</t>
  </si>
  <si>
    <t>BANNELLA</t>
  </si>
  <si>
    <t>06:25:40.80</t>
  </si>
  <si>
    <t>06:26:23.50</t>
  </si>
  <si>
    <t>DE BIAGI</t>
  </si>
  <si>
    <t>06:26:28.20</t>
  </si>
  <si>
    <t>ZAMUNER</t>
  </si>
  <si>
    <t>06:26:40.20</t>
  </si>
  <si>
    <t>06:26:43.20</t>
  </si>
  <si>
    <t>ANDRUCCIOLI</t>
  </si>
  <si>
    <t>06:26:44.40</t>
  </si>
  <si>
    <t>TARONI</t>
  </si>
  <si>
    <t>POL. AVIS IMOLA</t>
  </si>
  <si>
    <t>06:27:10.00</t>
  </si>
  <si>
    <t>06:27:22.40</t>
  </si>
  <si>
    <t>06:27:28.40</t>
  </si>
  <si>
    <t>CANTU'</t>
  </si>
  <si>
    <t>GS SANDAMIANESE</t>
  </si>
  <si>
    <t>06:27:39.20</t>
  </si>
  <si>
    <t>06:28:18.10</t>
  </si>
  <si>
    <t>06:28:19.20</t>
  </si>
  <si>
    <t>06:28:22.30</t>
  </si>
  <si>
    <t>06:28:32.00</t>
  </si>
  <si>
    <t>ZACCHERONI</t>
  </si>
  <si>
    <t>06:28:35.20</t>
  </si>
  <si>
    <t>CANINI</t>
  </si>
  <si>
    <t>06:28:43.40</t>
  </si>
  <si>
    <t>TIZIANA</t>
  </si>
  <si>
    <t>06:28:45.20</t>
  </si>
  <si>
    <t>06:28:49.20</t>
  </si>
  <si>
    <t>06:28:53.00</t>
  </si>
  <si>
    <t>POMA</t>
  </si>
  <si>
    <t>06:29:01.70</t>
  </si>
  <si>
    <t>06:29:02.40</t>
  </si>
  <si>
    <t>MERCIARI</t>
  </si>
  <si>
    <t>06:29:12.50</t>
  </si>
  <si>
    <t>06:29:15.30</t>
  </si>
  <si>
    <t>06:29:25.40</t>
  </si>
  <si>
    <t>ZAMAGNI</t>
  </si>
  <si>
    <t>06:29:32.60</t>
  </si>
  <si>
    <t>ANICE</t>
  </si>
  <si>
    <t>06:29:34.30</t>
  </si>
  <si>
    <t>DI BIASE</t>
  </si>
  <si>
    <t>COSIMO</t>
  </si>
  <si>
    <t>06:30:15.30</t>
  </si>
  <si>
    <t>GOZZOLI</t>
  </si>
  <si>
    <t>06:30:17.40</t>
  </si>
  <si>
    <t>TINTO</t>
  </si>
  <si>
    <t>GC MOSER-AMPLIFON</t>
  </si>
  <si>
    <t>06:30:49.40</t>
  </si>
  <si>
    <t>BIASOTTO</t>
  </si>
  <si>
    <t>PIERANTONIO</t>
  </si>
  <si>
    <t>06:31:08.50</t>
  </si>
  <si>
    <t>PEROZZI</t>
  </si>
  <si>
    <t>CICLI SAMBI</t>
  </si>
  <si>
    <t>06:31:12.00</t>
  </si>
  <si>
    <t>CASALINI</t>
  </si>
  <si>
    <t>MELYS</t>
  </si>
  <si>
    <t>06:32:12.60</t>
  </si>
  <si>
    <t>SACCHINI</t>
  </si>
  <si>
    <t>TANDEM</t>
  </si>
  <si>
    <t>06:32:12.80</t>
  </si>
  <si>
    <t>STOCCHERO</t>
  </si>
  <si>
    <t>MAVIL TEAM</t>
  </si>
  <si>
    <t>06:32:33.70</t>
  </si>
  <si>
    <t>MEROLA</t>
  </si>
  <si>
    <t>06:32:36.20</t>
  </si>
  <si>
    <t>CONTE</t>
  </si>
  <si>
    <t>06:32:38.30</t>
  </si>
  <si>
    <t>BRAZZALE</t>
  </si>
  <si>
    <t>06:32:38.50</t>
  </si>
  <si>
    <t>06:32:41.00</t>
  </si>
  <si>
    <t>TIZIAN</t>
  </si>
  <si>
    <t>06:32:41.80</t>
  </si>
  <si>
    <t>BAIO</t>
  </si>
  <si>
    <t>06:32:43.10</t>
  </si>
  <si>
    <t>MAZZOCATO</t>
  </si>
  <si>
    <t>06:32:53.60</t>
  </si>
  <si>
    <t>06:32:57.30</t>
  </si>
  <si>
    <t>ROSATI</t>
  </si>
  <si>
    <t>06:32:59.90</t>
  </si>
  <si>
    <t>06:33:29.20</t>
  </si>
  <si>
    <t>CONFICONI</t>
  </si>
  <si>
    <t>MONT SPACHA BIKE</t>
  </si>
  <si>
    <t>06:37:22.80</t>
  </si>
  <si>
    <t>SALSI</t>
  </si>
  <si>
    <t>MONT SPACHE' BIKE</t>
  </si>
  <si>
    <t>06:37:23.20</t>
  </si>
  <si>
    <t>06:37:29.20</t>
  </si>
  <si>
    <t>ANTONINI</t>
  </si>
  <si>
    <t>06:37:31.30</t>
  </si>
  <si>
    <t>PAOLETTI</t>
  </si>
  <si>
    <t>06:37:35.10</t>
  </si>
  <si>
    <t>06:37:36.30</t>
  </si>
  <si>
    <t>POLINARI</t>
  </si>
  <si>
    <t>06:37:41.50</t>
  </si>
  <si>
    <t>SELLINI</t>
  </si>
  <si>
    <t>PALMIRO</t>
  </si>
  <si>
    <t>06:37:42.00</t>
  </si>
  <si>
    <t>DI GRAZIA</t>
  </si>
  <si>
    <t>FEBAL</t>
  </si>
  <si>
    <t>06:38:03.20</t>
  </si>
  <si>
    <t>TEAM C.B.L. CICLI BETTONI COSTA VOLPINO</t>
  </si>
  <si>
    <t>06:39:01.60</t>
  </si>
  <si>
    <t>GIULIANINI</t>
  </si>
  <si>
    <t>06:40:15.60</t>
  </si>
  <si>
    <t>TERLIZZI</t>
  </si>
  <si>
    <t>SPEED WHEEL TEAM SAVONA</t>
  </si>
  <si>
    <t>06:40:53.10</t>
  </si>
  <si>
    <t>D'AGOSTINO</t>
  </si>
  <si>
    <t>06:40:54.10</t>
  </si>
  <si>
    <t>LONGOBARDO</t>
  </si>
  <si>
    <t>06:41:28.50</t>
  </si>
  <si>
    <t>TEODORO</t>
  </si>
  <si>
    <t>06:42:21.00</t>
  </si>
  <si>
    <t>06:43:07.10</t>
  </si>
  <si>
    <t>BASEI</t>
  </si>
  <si>
    <t>06:43:25.20</t>
  </si>
  <si>
    <t>FAGANELLO</t>
  </si>
  <si>
    <t>06:43:31.10</t>
  </si>
  <si>
    <t>DUILIO</t>
  </si>
  <si>
    <t>06:44:24.80</t>
  </si>
  <si>
    <t>NUCCI</t>
  </si>
  <si>
    <t>DORATEA</t>
  </si>
  <si>
    <t>06:44:46.20</t>
  </si>
  <si>
    <t>SILVESTRINI</t>
  </si>
  <si>
    <t>DANIS</t>
  </si>
  <si>
    <t>06:45:00.20</t>
  </si>
  <si>
    <t>TEAM MANUEL BIKE</t>
  </si>
  <si>
    <t>06:45:09.20</t>
  </si>
  <si>
    <t>LAURENZI</t>
  </si>
  <si>
    <t>06:46:21.50</t>
  </si>
  <si>
    <t>DUMITRASCU</t>
  </si>
  <si>
    <t>VALENTIN</t>
  </si>
  <si>
    <t>CICLI RIVOLTA</t>
  </si>
  <si>
    <t>06:46:23.30</t>
  </si>
  <si>
    <t>SC SESTRI PONENTE</t>
  </si>
  <si>
    <t>06:47:26.20</t>
  </si>
  <si>
    <t>ROVATTI</t>
  </si>
  <si>
    <t>AIMONE</t>
  </si>
  <si>
    <t>06:47:26.30</t>
  </si>
  <si>
    <t>06:47:35.10</t>
  </si>
  <si>
    <t>GEROLA</t>
  </si>
  <si>
    <t>06:48:20.30</t>
  </si>
  <si>
    <t>06:49:18.80</t>
  </si>
  <si>
    <t>SPARACO</t>
  </si>
  <si>
    <t>06:49:31.10</t>
  </si>
  <si>
    <t>06:49:34.40</t>
  </si>
  <si>
    <t>CHENDI</t>
  </si>
  <si>
    <t>06:49:37.70</t>
  </si>
  <si>
    <t>06:50:01.10</t>
  </si>
  <si>
    <t>TOSATTO</t>
  </si>
  <si>
    <t>06:51:11.50</t>
  </si>
  <si>
    <t>BRUZZONE</t>
  </si>
  <si>
    <t>06:51:39.20</t>
  </si>
  <si>
    <t>ZUIN</t>
  </si>
  <si>
    <t>06:52:02.20</t>
  </si>
  <si>
    <t>DURANTI</t>
  </si>
  <si>
    <t>06:54:15.60</t>
  </si>
  <si>
    <t>06:54:50.40</t>
  </si>
  <si>
    <t>ADAMO</t>
  </si>
  <si>
    <t>MANLIO</t>
  </si>
  <si>
    <t>06:56:40.60</t>
  </si>
  <si>
    <t>COSINI</t>
  </si>
  <si>
    <t>06:57:14.20</t>
  </si>
  <si>
    <t>06:57:38.20</t>
  </si>
  <si>
    <t>CARESANO</t>
  </si>
  <si>
    <t>TEAM EMMEDUE</t>
  </si>
  <si>
    <t>06:59:19.20</t>
  </si>
  <si>
    <t>MARTELLO</t>
  </si>
  <si>
    <t>07:03:06.30</t>
  </si>
  <si>
    <t>07:03:32.50</t>
  </si>
  <si>
    <t>SANDRINI</t>
  </si>
  <si>
    <t>07:04:17.50</t>
  </si>
  <si>
    <t>07:06:07.40</t>
  </si>
  <si>
    <t>CASIRAGHI</t>
  </si>
  <si>
    <t>SOCIETA' CICLISTICA DOMENICO FIORANI</t>
  </si>
  <si>
    <t>07:07:07.20</t>
  </si>
  <si>
    <t>07:07:31.30</t>
  </si>
  <si>
    <t>ANICETO</t>
  </si>
  <si>
    <t>07:11:08.50</t>
  </si>
  <si>
    <t>07:11:09.10</t>
  </si>
  <si>
    <t>07:25:06.40</t>
  </si>
  <si>
    <t>ROMAGNOLI</t>
  </si>
  <si>
    <t>07:25:07.10</t>
  </si>
  <si>
    <t>PIALLI</t>
  </si>
  <si>
    <t>07:29:08.40</t>
  </si>
  <si>
    <t>FOGLINO</t>
  </si>
  <si>
    <t>07:31:50.30</t>
  </si>
  <si>
    <t>75/668</t>
  </si>
  <si>
    <t>132/354</t>
  </si>
  <si>
    <t>154/354</t>
  </si>
  <si>
    <t>166/354</t>
  </si>
  <si>
    <t>494/668</t>
  </si>
  <si>
    <t>270/354</t>
  </si>
  <si>
    <t>271/354</t>
  </si>
  <si>
    <t>245/380</t>
  </si>
  <si>
    <t>495/668</t>
  </si>
  <si>
    <t>272/354</t>
  </si>
  <si>
    <t>497/668</t>
  </si>
  <si>
    <t xml:space="preserve">05/04/2009 GF SELLE ITALIA CERVIA (RA) </t>
  </si>
  <si>
    <t>379/504</t>
  </si>
  <si>
    <t>191/307</t>
  </si>
  <si>
    <t>04:23:49.30</t>
  </si>
  <si>
    <t>BALDELLI</t>
  </si>
  <si>
    <t>04:23:53.10</t>
  </si>
  <si>
    <t>CAPELLI</t>
  </si>
  <si>
    <t>04:23:58.10</t>
  </si>
  <si>
    <t>CAPOZZOLO</t>
  </si>
  <si>
    <t>04:24:01.30</t>
  </si>
  <si>
    <t>CASSINA</t>
  </si>
  <si>
    <t>04:24:02.70</t>
  </si>
  <si>
    <t>SC VECCHIAZZANO</t>
  </si>
  <si>
    <t>04:24:10.60</t>
  </si>
  <si>
    <t>PICHLER</t>
  </si>
  <si>
    <t>04:24:11.10</t>
  </si>
  <si>
    <t>MARCHIORI</t>
  </si>
  <si>
    <t>04:25:41.10</t>
  </si>
  <si>
    <t>BENCI</t>
  </si>
  <si>
    <t>04:25:41.50</t>
  </si>
  <si>
    <t>RADI</t>
  </si>
  <si>
    <t>04:25:42.20</t>
  </si>
  <si>
    <t>ABENI</t>
  </si>
  <si>
    <t>ASD AMATORI OSPITALETTO</t>
  </si>
  <si>
    <t>04:25:42.60</t>
  </si>
  <si>
    <t>CASADIO</t>
  </si>
  <si>
    <t>04:25:43.00</t>
  </si>
  <si>
    <t>04:25:43.10</t>
  </si>
  <si>
    <t>DE PELLEGRIN</t>
  </si>
  <si>
    <t>04:25:43.50</t>
  </si>
  <si>
    <t>FALLAVENA</t>
  </si>
  <si>
    <t>04:25:44.80</t>
  </si>
  <si>
    <t>GOVONI</t>
  </si>
  <si>
    <t>04:25:45.30</t>
  </si>
  <si>
    <t>BEDON</t>
  </si>
  <si>
    <t>04:25:45.80</t>
  </si>
  <si>
    <t>CASON</t>
  </si>
  <si>
    <t>04:25:47.80</t>
  </si>
  <si>
    <t>FRANCHI</t>
  </si>
  <si>
    <t>04:25:50.00</t>
  </si>
  <si>
    <t>PAVANELLO</t>
  </si>
  <si>
    <t>04:25:50.30</t>
  </si>
  <si>
    <t>CORUCCI</t>
  </si>
  <si>
    <t>04:25:51.60</t>
  </si>
  <si>
    <t>04:25:52.10</t>
  </si>
  <si>
    <t>ASD SPEEDY CESENA</t>
  </si>
  <si>
    <t>04:25:52.50</t>
  </si>
  <si>
    <t>ZAGHINI</t>
  </si>
  <si>
    <t>04:25:53.40</t>
  </si>
  <si>
    <t>LUCARINI</t>
  </si>
  <si>
    <t>04:25:54.80</t>
  </si>
  <si>
    <t>ZANDONA'</t>
  </si>
  <si>
    <t>04:25:55.30</t>
  </si>
  <si>
    <t>04:25:55.80</t>
  </si>
  <si>
    <t>RONCHI</t>
  </si>
  <si>
    <t>ERWIN</t>
  </si>
  <si>
    <t>04:25:56.20</t>
  </si>
  <si>
    <t>04:25:56.60</t>
  </si>
  <si>
    <t>BARBERO</t>
  </si>
  <si>
    <t>04:25:56.90</t>
  </si>
  <si>
    <t>FABBIONI</t>
  </si>
  <si>
    <t>04:26:50.50</t>
  </si>
  <si>
    <t>MERLO</t>
  </si>
  <si>
    <t>04:27:13.80</t>
  </si>
  <si>
    <t>CAPPE'</t>
  </si>
  <si>
    <t>BENAGLIA</t>
  </si>
  <si>
    <t>04:27:15.30</t>
  </si>
  <si>
    <t>BECONCINI</t>
  </si>
  <si>
    <t>TEAM MAGGI CICLI CARRARO</t>
  </si>
  <si>
    <t>04:27:15.50</t>
  </si>
  <si>
    <t>LECHTHALER</t>
  </si>
  <si>
    <t>04:27:51.70</t>
  </si>
  <si>
    <t>COLESSO</t>
  </si>
  <si>
    <t>SIRO</t>
  </si>
  <si>
    <t>TEAM  BIKE 2000</t>
  </si>
  <si>
    <t>04:28:51.10</t>
  </si>
  <si>
    <t>GRADASSI</t>
  </si>
  <si>
    <t>GLI SCOIATTOLI</t>
  </si>
  <si>
    <t>04:28:52.10</t>
  </si>
  <si>
    <t>04:28:55.00</t>
  </si>
  <si>
    <t>PIPOLI</t>
  </si>
  <si>
    <t>GS BICIMANIA LISSONE MTB</t>
  </si>
  <si>
    <t>04:29:05.70</t>
  </si>
  <si>
    <t>IERACI</t>
  </si>
  <si>
    <t>04:29:06.10</t>
  </si>
  <si>
    <t>ALIATIS</t>
  </si>
  <si>
    <t>PEDALE RIVALTESE</t>
  </si>
  <si>
    <t>04:29:12.20</t>
  </si>
  <si>
    <t>BOLOGNESI</t>
  </si>
  <si>
    <t>04:29:26.10</t>
  </si>
  <si>
    <t>LAURENT</t>
  </si>
  <si>
    <t>04:29:47.70</t>
  </si>
  <si>
    <t>DOGNINI</t>
  </si>
  <si>
    <t>04:29:48.00</t>
  </si>
  <si>
    <t>POGLIANI</t>
  </si>
  <si>
    <t>04:30:02.10</t>
  </si>
  <si>
    <t>BONARETTI</t>
  </si>
  <si>
    <t>04:30:14.30</t>
  </si>
  <si>
    <t>ANDRIA</t>
  </si>
  <si>
    <t>ACD ALBATROS</t>
  </si>
  <si>
    <t>04:30:17.20</t>
  </si>
  <si>
    <t>ANTONIOLI</t>
  </si>
  <si>
    <t>04:30:20.30</t>
  </si>
  <si>
    <t>MALAVOLTI</t>
  </si>
  <si>
    <t>04:30:28.70</t>
  </si>
  <si>
    <t>UC  PETRIGNANO</t>
  </si>
  <si>
    <t>04:30:31.20</t>
  </si>
  <si>
    <t>PASSALACQUA</t>
  </si>
  <si>
    <t>ASD CICLO POINT</t>
  </si>
  <si>
    <t>04:30:31.30</t>
  </si>
  <si>
    <t>SACCONI</t>
  </si>
  <si>
    <t>04:30:32.50</t>
  </si>
  <si>
    <t>BOGGI</t>
  </si>
  <si>
    <t>CICLI MORI</t>
  </si>
  <si>
    <t>04:30:37.00</t>
  </si>
  <si>
    <t>ROSI</t>
  </si>
  <si>
    <t>MAX LELLI SEISYSTEM</t>
  </si>
  <si>
    <t>04:30:39.30</t>
  </si>
  <si>
    <t>LIERA</t>
  </si>
  <si>
    <t>GS MONDO BICI</t>
  </si>
  <si>
    <t>04:30:44.10</t>
  </si>
  <si>
    <t>04:30:47.20</t>
  </si>
  <si>
    <t>LGL BIKE TEAM S.VITO</t>
  </si>
  <si>
    <t>04:30:47.40</t>
  </si>
  <si>
    <t>GORGOIOLI</t>
  </si>
  <si>
    <t>04:30:51.40</t>
  </si>
  <si>
    <t>SBRIGHI</t>
  </si>
  <si>
    <t>04:30:53.10</t>
  </si>
  <si>
    <t>04:30:55.50</t>
  </si>
  <si>
    <t>04:30:56.70</t>
  </si>
  <si>
    <t>SERASINI</t>
  </si>
  <si>
    <t>ASD TOSCO-ROMAGNOLA</t>
  </si>
  <si>
    <t>04:30:58.00</t>
  </si>
  <si>
    <t>ZOFFOLI</t>
  </si>
  <si>
    <t>04:31:00.20</t>
  </si>
  <si>
    <t>SALVATICO</t>
  </si>
  <si>
    <t>04:31:13.20</t>
  </si>
  <si>
    <t>ZANELLA</t>
  </si>
  <si>
    <t>04:31:40.70</t>
  </si>
  <si>
    <t>VELO CLUB GUBBIO</t>
  </si>
  <si>
    <t>04:31:47.40</t>
  </si>
  <si>
    <t>MAZZAVILLANI</t>
  </si>
  <si>
    <t>04:31:51.40</t>
  </si>
  <si>
    <t>BORTOT</t>
  </si>
  <si>
    <t>04:32:13.20</t>
  </si>
  <si>
    <t>PICCAGLIA</t>
  </si>
  <si>
    <t>04:32:24.30</t>
  </si>
  <si>
    <t>ASD JOLLY EUROPRESTIGE</t>
  </si>
  <si>
    <t>04:32:26.60</t>
  </si>
  <si>
    <t>SACCO</t>
  </si>
  <si>
    <t>04:32:27.10</t>
  </si>
  <si>
    <t>GENNARI</t>
  </si>
  <si>
    <t>GS SPORT CLUB GENOVA 1913</t>
  </si>
  <si>
    <t>04:32:31.80</t>
  </si>
  <si>
    <t>BONFANTI</t>
  </si>
  <si>
    <t>TEAM BICIAIO</t>
  </si>
  <si>
    <t>04:32:34.60</t>
  </si>
  <si>
    <t>DI STEFANO</t>
  </si>
  <si>
    <t>AC CARNIA BIKE</t>
  </si>
  <si>
    <t>04:32:36.30</t>
  </si>
  <si>
    <t>PIUNTI</t>
  </si>
  <si>
    <t>04:32:39.40</t>
  </si>
  <si>
    <t>SAETTI</t>
  </si>
  <si>
    <t>04:32:40.00</t>
  </si>
  <si>
    <t>04:32:42.30</t>
  </si>
  <si>
    <t>CHIETERA</t>
  </si>
  <si>
    <t>04:32:42.80</t>
  </si>
  <si>
    <t>RUGGIERO</t>
  </si>
  <si>
    <t>04:32:42.90</t>
  </si>
  <si>
    <t>NICOLETTI</t>
  </si>
  <si>
    <t>04:32:43.60</t>
  </si>
  <si>
    <t>US SANGIORGESE</t>
  </si>
  <si>
    <t>ZAVARISE</t>
  </si>
  <si>
    <t>04:32:43.80</t>
  </si>
  <si>
    <t>04:32:44.50</t>
  </si>
  <si>
    <t>PONTELLINI</t>
  </si>
  <si>
    <t>04:32:44.90</t>
  </si>
  <si>
    <t>PIRAZZOLI</t>
  </si>
  <si>
    <t>CONSORTI</t>
  </si>
  <si>
    <t>MELANIA</t>
  </si>
  <si>
    <t>04:32:45.40</t>
  </si>
  <si>
    <t>04:32:47.00</t>
  </si>
  <si>
    <t>CANGINI</t>
  </si>
  <si>
    <t>04:32:47.60</t>
  </si>
  <si>
    <t>PAGANI</t>
  </si>
  <si>
    <t>04:32:48.60</t>
  </si>
  <si>
    <t>BETTINAZZI</t>
  </si>
  <si>
    <t>04:32:50.40</t>
  </si>
  <si>
    <t>BAZZUCCHI</t>
  </si>
  <si>
    <t>ASD VELOCE TUBERINO</t>
  </si>
  <si>
    <t>04:32:50.60</t>
  </si>
  <si>
    <t>04:32:51.40</t>
  </si>
  <si>
    <t>TIRONZELLI</t>
  </si>
  <si>
    <t>04:32:54.40</t>
  </si>
  <si>
    <t>POTO</t>
  </si>
  <si>
    <t>04:32:54.80</t>
  </si>
  <si>
    <t>04:32:55.30</t>
  </si>
  <si>
    <t>MARCOLIN</t>
  </si>
  <si>
    <t>GHERARDO</t>
  </si>
  <si>
    <t>04:32:56.60</t>
  </si>
  <si>
    <t>BINDINI</t>
  </si>
  <si>
    <t>04:32:57.20</t>
  </si>
  <si>
    <t>SATTOLO</t>
  </si>
  <si>
    <t>04:32:58.10</t>
  </si>
  <si>
    <t>GS PRASECCO BIESSE</t>
  </si>
  <si>
    <t>04:32:59.60</t>
  </si>
  <si>
    <t>04:33:02.10</t>
  </si>
  <si>
    <t>RONCUZZI</t>
  </si>
  <si>
    <t>04:33:05.30</t>
  </si>
  <si>
    <t>04:33:07.30</t>
  </si>
  <si>
    <t>ANGELONI</t>
  </si>
  <si>
    <t>MARIANO</t>
  </si>
  <si>
    <t>04:33:10.50</t>
  </si>
  <si>
    <t>BONCOMPAGNI</t>
  </si>
  <si>
    <t>ASD CICLISTICA SANSEPOLCRO</t>
  </si>
  <si>
    <t>04:33:13.60</t>
  </si>
  <si>
    <t>CASSETTA</t>
  </si>
  <si>
    <t>04:33:14.20</t>
  </si>
  <si>
    <t>CIANFLONE</t>
  </si>
  <si>
    <t>ASD ADRIATICA BIKE</t>
  </si>
  <si>
    <t>04:33:21.10</t>
  </si>
  <si>
    <t>04:33:29.10</t>
  </si>
  <si>
    <t>BOTTI</t>
  </si>
  <si>
    <t>04:33:33.20</t>
  </si>
  <si>
    <t>GROFF</t>
  </si>
  <si>
    <t>04:33:36.30</t>
  </si>
  <si>
    <t>LUISOTTO</t>
  </si>
  <si>
    <t>ASD CIMA SIAI</t>
  </si>
  <si>
    <t>04:33:38.10</t>
  </si>
  <si>
    <t>VAIANI</t>
  </si>
  <si>
    <t>04:33:42.20</t>
  </si>
  <si>
    <t>ORSETTI</t>
  </si>
  <si>
    <t>04:33:46.10</t>
  </si>
  <si>
    <t>04:33:46.70</t>
  </si>
  <si>
    <t>GALLA</t>
  </si>
  <si>
    <t>04:34:02.80</t>
  </si>
  <si>
    <t>NOGAROTTO</t>
  </si>
  <si>
    <t>PEDALE SANGIOVANNESE</t>
  </si>
  <si>
    <t>04:34:04.30</t>
  </si>
  <si>
    <t>DANESI</t>
  </si>
  <si>
    <t>04:34:05.00</t>
  </si>
  <si>
    <t>BAROLLO</t>
  </si>
  <si>
    <t>TEAM BERTOLDI CICLISSIMO</t>
  </si>
  <si>
    <t>04:34:10.40</t>
  </si>
  <si>
    <t>CAVALCA</t>
  </si>
  <si>
    <t>04:34:12.30</t>
  </si>
  <si>
    <t>MONTORO</t>
  </si>
  <si>
    <t>04:34:16.10</t>
  </si>
  <si>
    <t>BRAVETTI</t>
  </si>
  <si>
    <t>04:34:16.20</t>
  </si>
  <si>
    <t>GAETTI</t>
  </si>
  <si>
    <t>04:34:19.30</t>
  </si>
  <si>
    <t>AS CARROZZERIA RALLY</t>
  </si>
  <si>
    <t>04:34:20.30</t>
  </si>
  <si>
    <t>CAVALLARO</t>
  </si>
  <si>
    <t>DAMIANO DAVIDE</t>
  </si>
  <si>
    <t>SC FONDAZIONE HUMANITAS</t>
  </si>
  <si>
    <t>04:34:21.10</t>
  </si>
  <si>
    <t>GIUNTI</t>
  </si>
  <si>
    <t>04:34:23.10</t>
  </si>
  <si>
    <t>NICOL</t>
  </si>
  <si>
    <t>04:34:25.00</t>
  </si>
  <si>
    <t>04:34:26.40</t>
  </si>
  <si>
    <t>POLETTI</t>
  </si>
  <si>
    <t>04:34:27.50</t>
  </si>
  <si>
    <t>MUSSINI</t>
  </si>
  <si>
    <t>04:34:28.10</t>
  </si>
  <si>
    <t>MARINAI</t>
  </si>
  <si>
    <t>04:34:29.10</t>
  </si>
  <si>
    <t>04:34:30.00</t>
  </si>
  <si>
    <t>COPPOLA</t>
  </si>
  <si>
    <t>04:34:30.20</t>
  </si>
  <si>
    <t>BRIGLIADORI</t>
  </si>
  <si>
    <t>04:34:30.30</t>
  </si>
  <si>
    <t>04:34:30.80</t>
  </si>
  <si>
    <t>ASD GS MTB CREDARO</t>
  </si>
  <si>
    <t>04:34:46.40</t>
  </si>
  <si>
    <t>AS ENERGIE BIKE</t>
  </si>
  <si>
    <t>04:34:56.00</t>
  </si>
  <si>
    <t>BRUGNARA</t>
  </si>
  <si>
    <t>BREE  TRENTO</t>
  </si>
  <si>
    <t>04:34:56.10</t>
  </si>
  <si>
    <t>04:35:22.80</t>
  </si>
  <si>
    <t>04:35:24.00</t>
  </si>
  <si>
    <t>04:35:24.90</t>
  </si>
  <si>
    <t>04:35:25.60</t>
  </si>
  <si>
    <t>04:35:29.10</t>
  </si>
  <si>
    <t>GUBERTI</t>
  </si>
  <si>
    <t>04:35:45.20</t>
  </si>
  <si>
    <t>LEPROTTI</t>
  </si>
  <si>
    <t>04:35:48.60</t>
  </si>
  <si>
    <t>MILLER</t>
  </si>
  <si>
    <t>04:35:58.00</t>
  </si>
  <si>
    <t>04:35:59.00</t>
  </si>
  <si>
    <t>TOLOTTI</t>
  </si>
  <si>
    <t>VELO CLUB BAGNOLO</t>
  </si>
  <si>
    <t>04:35:59.70</t>
  </si>
  <si>
    <t>CARROLI</t>
  </si>
  <si>
    <t>04:36:00.60</t>
  </si>
  <si>
    <t>04:36:02.10</t>
  </si>
  <si>
    <t>DE MAIO</t>
  </si>
  <si>
    <t>04:36:13.10</t>
  </si>
  <si>
    <t>GIACOVAZZO</t>
  </si>
  <si>
    <t>PIERGIORGIO</t>
  </si>
  <si>
    <t>04:36:18.10</t>
  </si>
  <si>
    <t>PASINI</t>
  </si>
  <si>
    <t>04:36:18.40</t>
  </si>
  <si>
    <t>04:36:19.50</t>
  </si>
  <si>
    <t>04:36:20.10</t>
  </si>
  <si>
    <t>04:36:20.30</t>
  </si>
  <si>
    <t>LILLI</t>
  </si>
  <si>
    <t>04:36:21.50</t>
  </si>
  <si>
    <t>PAGLIARANI</t>
  </si>
  <si>
    <t>04:36:22.00</t>
  </si>
  <si>
    <t>BORTOLAMI</t>
  </si>
  <si>
    <t>BARONI</t>
  </si>
  <si>
    <t>04:36:23.90</t>
  </si>
  <si>
    <t>GAVA</t>
  </si>
  <si>
    <t>04:36:24.60</t>
  </si>
  <si>
    <t>NADALUTTI</t>
  </si>
  <si>
    <t>04:36:25.00</t>
  </si>
  <si>
    <t>BRIZZOLARI</t>
  </si>
  <si>
    <t>04:36:29.40</t>
  </si>
  <si>
    <t>FABIANO</t>
  </si>
  <si>
    <t>04:36:34.70</t>
  </si>
  <si>
    <t>BITOSSI</t>
  </si>
  <si>
    <t>04:36:35.00</t>
  </si>
  <si>
    <t>FONI</t>
  </si>
  <si>
    <t>CICLISTICA SAN SEPOLCRO</t>
  </si>
  <si>
    <t>04:36:37.40</t>
  </si>
  <si>
    <t>04:36:48.40</t>
  </si>
  <si>
    <t>CARON</t>
  </si>
  <si>
    <t>04:36:51.50</t>
  </si>
  <si>
    <t>04:36:53.40</t>
  </si>
  <si>
    <t>BARBAGALLO</t>
  </si>
  <si>
    <t>04:37:05.00</t>
  </si>
  <si>
    <t>CARLUCCI</t>
  </si>
  <si>
    <t>VISUAL CYCLING TEAM</t>
  </si>
  <si>
    <t>04:37:10.80</t>
  </si>
  <si>
    <t>CERONI</t>
  </si>
  <si>
    <t>04:37:14.40</t>
  </si>
  <si>
    <t>FERRAZZO</t>
  </si>
  <si>
    <t>ASD KETEAM</t>
  </si>
  <si>
    <t>04:37:15.60</t>
  </si>
  <si>
    <t>EMIDIO</t>
  </si>
  <si>
    <t>04:37:18.40</t>
  </si>
  <si>
    <t>04:37:21.20</t>
  </si>
  <si>
    <t>PICCININ</t>
  </si>
  <si>
    <t>04:37:40.70</t>
  </si>
  <si>
    <t>LOMBARDO</t>
  </si>
  <si>
    <t>04:37:50.50</t>
  </si>
  <si>
    <t>MALPEDE</t>
  </si>
  <si>
    <t>TIBERIO</t>
  </si>
  <si>
    <t>04:37:50.60</t>
  </si>
  <si>
    <t>04:37:50.80</t>
  </si>
  <si>
    <t>04:37:50.90</t>
  </si>
  <si>
    <t>04:37:51.10</t>
  </si>
  <si>
    <t>PACINI</t>
  </si>
  <si>
    <t>VERONICA</t>
  </si>
  <si>
    <t>04:37:51.20</t>
  </si>
  <si>
    <t>04:37:51.40</t>
  </si>
  <si>
    <t>CORNIA</t>
  </si>
  <si>
    <t>TEAM GRANFONDO PINARELLO</t>
  </si>
  <si>
    <t>04:37:51.80</t>
  </si>
  <si>
    <t>MARCATELLI</t>
  </si>
  <si>
    <t>04:37:52.20</t>
  </si>
  <si>
    <t>PANNELLA</t>
  </si>
  <si>
    <t>04:37:52.80</t>
  </si>
  <si>
    <t>04:37:53.80</t>
  </si>
  <si>
    <t>LAMBRUGO</t>
  </si>
  <si>
    <t>04:37:54.40</t>
  </si>
  <si>
    <t>ZIGNANI</t>
  </si>
  <si>
    <t>04:37:55.80</t>
  </si>
  <si>
    <t>COSTANZI</t>
  </si>
  <si>
    <t>GS IL GIRASOLE</t>
  </si>
  <si>
    <t>04:37:59.10</t>
  </si>
  <si>
    <t>ARTEGIANI</t>
  </si>
  <si>
    <t>04:37:59.30</t>
  </si>
  <si>
    <t>BIGNARDI</t>
  </si>
  <si>
    <t>04:38:03.40</t>
  </si>
  <si>
    <t>PIOVATICCI</t>
  </si>
  <si>
    <t>04:38:06.00</t>
  </si>
  <si>
    <t>CARLO ALBERTO</t>
  </si>
  <si>
    <t>04:38:12.10</t>
  </si>
  <si>
    <t>POGGIOLI</t>
  </si>
  <si>
    <t>04:38:14.50</t>
  </si>
  <si>
    <t>04:38:16.40</t>
  </si>
  <si>
    <t>RONCELLA</t>
  </si>
  <si>
    <t>04:38:18.30</t>
  </si>
  <si>
    <t>ADAMI</t>
  </si>
  <si>
    <t>04:38:24.60</t>
  </si>
  <si>
    <t>ASD DTEAM ESSEGI 2</t>
  </si>
  <si>
    <t>04:38:27.50</t>
  </si>
  <si>
    <t>VIRGILIO</t>
  </si>
  <si>
    <t>04:38:31.40</t>
  </si>
  <si>
    <t>SINICO</t>
  </si>
  <si>
    <t>04:38:36.40</t>
  </si>
  <si>
    <t>DE SANTIS</t>
  </si>
  <si>
    <t>04:38:36.70</t>
  </si>
  <si>
    <t>04:38:40.90</t>
  </si>
  <si>
    <t>FORGHIERI</t>
  </si>
  <si>
    <t>04:38:41.60</t>
  </si>
  <si>
    <t>ARTOSI</t>
  </si>
  <si>
    <t>04:38:47.30</t>
  </si>
  <si>
    <t>CATANI</t>
  </si>
  <si>
    <t>04:38:48.20</t>
  </si>
  <si>
    <t>04:38:54.20</t>
  </si>
  <si>
    <t>04:38:55.20</t>
  </si>
  <si>
    <t>PIVA</t>
  </si>
  <si>
    <t>04:38:58.10</t>
  </si>
  <si>
    <t>OTTAVIANO</t>
  </si>
  <si>
    <t>04:38:59.10</t>
  </si>
  <si>
    <t>FARNETI</t>
  </si>
  <si>
    <t>FLORIANO</t>
  </si>
  <si>
    <t>GC AVIS FORLI'</t>
  </si>
  <si>
    <t>04:38:59.70</t>
  </si>
  <si>
    <t>04:39:00.40</t>
  </si>
  <si>
    <t>PENNAZZI</t>
  </si>
  <si>
    <t>ASD.SACMI</t>
  </si>
  <si>
    <t>04:39:00.60</t>
  </si>
  <si>
    <t>PALLADINI</t>
  </si>
  <si>
    <t>04:39:02.30</t>
  </si>
  <si>
    <t>GUALTIERO</t>
  </si>
  <si>
    <t>04:39:05.60</t>
  </si>
  <si>
    <t>PISELLI</t>
  </si>
  <si>
    <t>04:39:08.00</t>
  </si>
  <si>
    <t>04:39:13.00</t>
  </si>
  <si>
    <t>GC POLISPORTIVA 2000</t>
  </si>
  <si>
    <t>04:39:29.90</t>
  </si>
  <si>
    <t>FAGIOLI</t>
  </si>
  <si>
    <t>04:39:39.70</t>
  </si>
  <si>
    <t>US BORMIESE</t>
  </si>
  <si>
    <t>04:39:44.50</t>
  </si>
  <si>
    <t>ZAMPIERI</t>
  </si>
  <si>
    <t>04:39:44.70</t>
  </si>
  <si>
    <t>PETTINELLI</t>
  </si>
  <si>
    <t>04:39:45.30</t>
  </si>
  <si>
    <t>04:39:52.20</t>
  </si>
  <si>
    <t>PERUGINI</t>
  </si>
  <si>
    <t>04:40:01.10</t>
  </si>
  <si>
    <t>ANDRIGHETTI</t>
  </si>
  <si>
    <t>04:40:27.30</t>
  </si>
  <si>
    <t>04:40:28.10</t>
  </si>
  <si>
    <t>TEODOROSI</t>
  </si>
  <si>
    <t>04:40:29.10</t>
  </si>
  <si>
    <t>PIERINI</t>
  </si>
  <si>
    <t>04:40:35.60</t>
  </si>
  <si>
    <t>MORASCHINI</t>
  </si>
  <si>
    <t>04:40:41.00</t>
  </si>
  <si>
    <t>PICCIONI</t>
  </si>
  <si>
    <t>GS TORTORETO</t>
  </si>
  <si>
    <t>04:40:51.90</t>
  </si>
  <si>
    <t>VASSALLO</t>
  </si>
  <si>
    <t>04:40:52.00</t>
  </si>
  <si>
    <t>BRISOTTO</t>
  </si>
  <si>
    <t>04:40:52.70</t>
  </si>
  <si>
    <t>MAZZALI</t>
  </si>
  <si>
    <t>SPORT BIKE CASTELMASSA</t>
  </si>
  <si>
    <t>LODA</t>
  </si>
  <si>
    <t>04:40:53.40</t>
  </si>
  <si>
    <t>PANICONI</t>
  </si>
  <si>
    <t>04:40:54.60</t>
  </si>
  <si>
    <t>MUCCIOLI</t>
  </si>
  <si>
    <t>04:40:58.80</t>
  </si>
  <si>
    <t>SALA</t>
  </si>
  <si>
    <t>04:41:00.10</t>
  </si>
  <si>
    <t>04:41:00.30</t>
  </si>
  <si>
    <t>BONOMO</t>
  </si>
  <si>
    <t>04:41:00.40</t>
  </si>
  <si>
    <t>EMALDI</t>
  </si>
  <si>
    <t>GABRIELLA</t>
  </si>
  <si>
    <t>04:41:00.70</t>
  </si>
  <si>
    <t>ANCARANI</t>
  </si>
  <si>
    <t>04:41:01.40</t>
  </si>
  <si>
    <t>PANTIERI</t>
  </si>
  <si>
    <t>04:41:07.00</t>
  </si>
  <si>
    <t>GOBAT</t>
  </si>
  <si>
    <t>04:41:08.70</t>
  </si>
  <si>
    <t>CARPIGNANI</t>
  </si>
  <si>
    <t>04:41:10.10</t>
  </si>
  <si>
    <t>04:41:14.20</t>
  </si>
  <si>
    <t>STRADAROLI</t>
  </si>
  <si>
    <t>04:41:17.10</t>
  </si>
  <si>
    <t>04:41:24.80</t>
  </si>
  <si>
    <t>BAROZZI</t>
  </si>
  <si>
    <t>DOPOLAVORO FERROVIARIO</t>
  </si>
  <si>
    <t>04:41:38.20</t>
  </si>
  <si>
    <t>VALLI</t>
  </si>
  <si>
    <t>04:41:38.40</t>
  </si>
  <si>
    <t>DI BERT</t>
  </si>
  <si>
    <t>ASD AEB BIOMOUSE NADALI</t>
  </si>
  <si>
    <t>04:41:49.50</t>
  </si>
  <si>
    <t>SARZO</t>
  </si>
  <si>
    <t>04:41:51.40</t>
  </si>
  <si>
    <t>FUMAROLA</t>
  </si>
  <si>
    <t>VINCENZA</t>
  </si>
  <si>
    <t>04:41:52.10</t>
  </si>
  <si>
    <t>DONIZETTI</t>
  </si>
  <si>
    <t>04:41:53.00</t>
  </si>
  <si>
    <t>RUOTA D'ORO</t>
  </si>
  <si>
    <t>04:41:58.30</t>
  </si>
  <si>
    <t>PARDINI</t>
  </si>
  <si>
    <t>04:42:01.30</t>
  </si>
  <si>
    <t>04:42:03.50</t>
  </si>
  <si>
    <t>GIARDINI</t>
  </si>
  <si>
    <t>04:42:03.80</t>
  </si>
  <si>
    <t>TONET</t>
  </si>
  <si>
    <t>04:42:21.30</t>
  </si>
  <si>
    <t>FELTRIN</t>
  </si>
  <si>
    <t>ASD GC BELLUNO</t>
  </si>
  <si>
    <t>04:42:26.20</t>
  </si>
  <si>
    <t>BASSO</t>
  </si>
  <si>
    <t>VELO CLUB RIETI</t>
  </si>
  <si>
    <t>04:42:28.30</t>
  </si>
  <si>
    <t>ROTA</t>
  </si>
  <si>
    <t>04:42:29.10</t>
  </si>
  <si>
    <t>CECCHERINI</t>
  </si>
  <si>
    <t>04:42:30.30</t>
  </si>
  <si>
    <t>SCORIOLI</t>
  </si>
  <si>
    <t>04:42:31.60</t>
  </si>
  <si>
    <t>DIOLAITI</t>
  </si>
  <si>
    <t>GS FRANCHI</t>
  </si>
  <si>
    <t>04:42:35.30</t>
  </si>
  <si>
    <t>BORGHETTI</t>
  </si>
  <si>
    <t>04:42:38.50</t>
  </si>
  <si>
    <t>FUMAGALLI</t>
  </si>
  <si>
    <t>GS CICLI DI LORENZO</t>
  </si>
  <si>
    <t>04:42:50.20</t>
  </si>
  <si>
    <t>MANOLO</t>
  </si>
  <si>
    <t>TRIATHLON DUATHLON RIMINI</t>
  </si>
  <si>
    <t>04:42:55.00</t>
  </si>
  <si>
    <t>GIAMBATTISTA</t>
  </si>
  <si>
    <t>POL. SACMI IMOLA</t>
  </si>
  <si>
    <t>04:42:56.00</t>
  </si>
  <si>
    <t>GRANZO</t>
  </si>
  <si>
    <t>BICIMANIA</t>
  </si>
  <si>
    <t>04:42:58.70</t>
  </si>
  <si>
    <t>04:42:59.10</t>
  </si>
  <si>
    <t>CROCCO</t>
  </si>
  <si>
    <t>GRUPPO SPORTIVO ESERCITO</t>
  </si>
  <si>
    <t>04:43:05.20</t>
  </si>
  <si>
    <t>04:43:09.30</t>
  </si>
  <si>
    <t>COLTELLA</t>
  </si>
  <si>
    <t>04:43:13.10</t>
  </si>
  <si>
    <t>FAVALI</t>
  </si>
  <si>
    <t>04:43:15.70</t>
  </si>
  <si>
    <t>04:43:19.30</t>
  </si>
  <si>
    <t>NORVES</t>
  </si>
  <si>
    <t>04:43:20.00</t>
  </si>
  <si>
    <t>DONETTI</t>
  </si>
  <si>
    <t>04:43:21.50</t>
  </si>
  <si>
    <t>SASSI</t>
  </si>
  <si>
    <t>MARINO</t>
  </si>
  <si>
    <t>04:43:23.80</t>
  </si>
  <si>
    <t>CAPANNA</t>
  </si>
  <si>
    <t>04:43:25.50</t>
  </si>
  <si>
    <t>FRANCESCHETTI</t>
  </si>
  <si>
    <t>04:43:26.10</t>
  </si>
  <si>
    <t>BRACCETTI</t>
  </si>
  <si>
    <t>04:43:27.10</t>
  </si>
  <si>
    <t>ZIRALDO</t>
  </si>
  <si>
    <t>04:43:31.60</t>
  </si>
  <si>
    <t>ASD MAX LELLI</t>
  </si>
  <si>
    <t>04:43:34.10</t>
  </si>
  <si>
    <t>BORETTI</t>
  </si>
  <si>
    <t>GC CAMPI 04</t>
  </si>
  <si>
    <t>04:43:35.10</t>
  </si>
  <si>
    <t>VIGNALI</t>
  </si>
  <si>
    <t>TEAM CARPENTARI</t>
  </si>
  <si>
    <t>04:43:36.50</t>
  </si>
  <si>
    <t>COIN</t>
  </si>
  <si>
    <t>ASD VIGOR BIKE</t>
  </si>
  <si>
    <t>04:43:44.20</t>
  </si>
  <si>
    <t>VANITELLI</t>
  </si>
  <si>
    <t>04:43:46.40</t>
  </si>
  <si>
    <t>04:43:47.80</t>
  </si>
  <si>
    <t>ALESSANDRINI</t>
  </si>
  <si>
    <t>04:43:52.80</t>
  </si>
  <si>
    <t>04:43:55.60</t>
  </si>
  <si>
    <t>04:44:02.60</t>
  </si>
  <si>
    <t>04:44:03.40</t>
  </si>
  <si>
    <t>MENGUCCI</t>
  </si>
  <si>
    <t>04:44:04.20</t>
  </si>
  <si>
    <t>FRANCESCUT</t>
  </si>
  <si>
    <t>04:44:04.30</t>
  </si>
  <si>
    <t>04:44:05.00</t>
  </si>
  <si>
    <t>04:44:05.30</t>
  </si>
  <si>
    <t>CHIESI</t>
  </si>
  <si>
    <t>PANTHEON SALVIOLI</t>
  </si>
  <si>
    <t>04:44:06.30</t>
  </si>
  <si>
    <t>04:44:07.20</t>
  </si>
  <si>
    <t>BOLPAGNI</t>
  </si>
  <si>
    <t>CICLI BETTONI</t>
  </si>
  <si>
    <t>04:44:08.30</t>
  </si>
  <si>
    <t>KOEHL</t>
  </si>
  <si>
    <t>JOSEPH</t>
  </si>
  <si>
    <t>04:44:12.10</t>
  </si>
  <si>
    <t>GASPONI</t>
  </si>
  <si>
    <t>04:44:12.30</t>
  </si>
  <si>
    <t>CINELLI</t>
  </si>
  <si>
    <t>04:44:19.20</t>
  </si>
  <si>
    <t>04:44:23.20</t>
  </si>
  <si>
    <t>04:44:25.60</t>
  </si>
  <si>
    <t>PIANZA</t>
  </si>
  <si>
    <t>04:44:28.00</t>
  </si>
  <si>
    <t>04:44:28.70</t>
  </si>
  <si>
    <t>PIOVOSI</t>
  </si>
  <si>
    <t>04:44:29.20</t>
  </si>
  <si>
    <t>MONACO</t>
  </si>
  <si>
    <t>04:44:37.10</t>
  </si>
  <si>
    <t>ZANI</t>
  </si>
  <si>
    <t>04:44:46.20</t>
  </si>
  <si>
    <t>DI GERONIMO</t>
  </si>
  <si>
    <t>04:44:51.50</t>
  </si>
  <si>
    <t>PRETOLANI</t>
  </si>
  <si>
    <t>04:44:59.00</t>
  </si>
  <si>
    <t>TOMMASI</t>
  </si>
  <si>
    <t>LA SORGENTE</t>
  </si>
  <si>
    <t>04:45:05.50</t>
  </si>
  <si>
    <t>04:45:08.40</t>
  </si>
  <si>
    <t>ZORZI</t>
  </si>
  <si>
    <t>04:45:08.50</t>
  </si>
  <si>
    <t>BORRA</t>
  </si>
  <si>
    <t>GS LUCKY BIKE</t>
  </si>
  <si>
    <t>04:45:08.80</t>
  </si>
  <si>
    <t>CAROLINA</t>
  </si>
  <si>
    <t>04:45:09.20</t>
  </si>
  <si>
    <t>TOMASI</t>
  </si>
  <si>
    <t>04:45:09.40</t>
  </si>
  <si>
    <t>ALGERI</t>
  </si>
  <si>
    <t>04:45:09.50</t>
  </si>
  <si>
    <t>CAVADINI</t>
  </si>
  <si>
    <t>ASDUC COMENSE</t>
  </si>
  <si>
    <t>04:45:12.40</t>
  </si>
  <si>
    <t>PIANCASTELLI</t>
  </si>
  <si>
    <t>PATRIZIA</t>
  </si>
  <si>
    <t>04:45:13.50</t>
  </si>
  <si>
    <t>04:45:15.50</t>
  </si>
  <si>
    <t>BRUNEO</t>
  </si>
  <si>
    <t>04:45:19.00</t>
  </si>
  <si>
    <t>STOPAZZINI</t>
  </si>
  <si>
    <t>04:45:24.10</t>
  </si>
  <si>
    <t>TESEI</t>
  </si>
  <si>
    <t>04:45:25.10</t>
  </si>
  <si>
    <t>04:45:26.10</t>
  </si>
  <si>
    <t>MANARESI</t>
  </si>
  <si>
    <t>04:45:28.10</t>
  </si>
  <si>
    <t>ROMUALDI</t>
  </si>
  <si>
    <t>04:45:33.50</t>
  </si>
  <si>
    <t>COMASTRI</t>
  </si>
  <si>
    <t>LOREDANO</t>
  </si>
  <si>
    <t>04:45:34.60</t>
  </si>
  <si>
    <t>PUZO</t>
  </si>
  <si>
    <t>04:45:44.00</t>
  </si>
  <si>
    <t>04:45:45.70</t>
  </si>
  <si>
    <t>MARINUCCI</t>
  </si>
  <si>
    <t>04:45:57.40</t>
  </si>
  <si>
    <t>04:46:00.30</t>
  </si>
  <si>
    <t>FRESCHI</t>
  </si>
  <si>
    <t>04:46:03.10</t>
  </si>
  <si>
    <t>LOTTO</t>
  </si>
  <si>
    <t>04:46:06.30</t>
  </si>
  <si>
    <t>MATTIUZZI</t>
  </si>
  <si>
    <t>LETIZIA IN BIKE TEAM</t>
  </si>
  <si>
    <t>04:46:08.70</t>
  </si>
  <si>
    <t>CS VAL DI LORETO</t>
  </si>
  <si>
    <t>04:46:10.00</t>
  </si>
  <si>
    <t>G.C. PANIGHINA</t>
  </si>
  <si>
    <t>04:46:11.20</t>
  </si>
  <si>
    <t>04:46:15.80</t>
  </si>
  <si>
    <t>04:46:16.70</t>
  </si>
  <si>
    <t>04:46:18.40</t>
  </si>
  <si>
    <t>OLIVA</t>
  </si>
  <si>
    <t>04:46:20.60</t>
  </si>
  <si>
    <t>04:46:20.80</t>
  </si>
  <si>
    <t>VATAN</t>
  </si>
  <si>
    <t>VERONIQUE</t>
  </si>
  <si>
    <t>04:46:21.30</t>
  </si>
  <si>
    <t>04:46:21.70</t>
  </si>
  <si>
    <t>ZANELLI</t>
  </si>
  <si>
    <t>04:46:34.10</t>
  </si>
  <si>
    <t>STEFANIZZI</t>
  </si>
  <si>
    <t>04:46:36.50</t>
  </si>
  <si>
    <t>SIGNORI</t>
  </si>
  <si>
    <t>TEAM MASSARDI</t>
  </si>
  <si>
    <t>04:46:37.10</t>
  </si>
  <si>
    <t>LOAT</t>
  </si>
  <si>
    <t>04:46:39.10</t>
  </si>
  <si>
    <t>TOSI</t>
  </si>
  <si>
    <t>04:46:40.90</t>
  </si>
  <si>
    <t>BERTOLETTI</t>
  </si>
  <si>
    <t>04:46:41.40</t>
  </si>
  <si>
    <t>04:46:42.60</t>
  </si>
  <si>
    <t>GARZONE</t>
  </si>
  <si>
    <t>GERARDO</t>
  </si>
  <si>
    <t>04:46:47.40</t>
  </si>
  <si>
    <t>RIA</t>
  </si>
  <si>
    <t>GS CHIARAVALLE</t>
  </si>
  <si>
    <t>04:46:48.40</t>
  </si>
  <si>
    <t>04:46:54.10</t>
  </si>
  <si>
    <t>04:47:02.30</t>
  </si>
  <si>
    <t>AGOSTINELLI</t>
  </si>
  <si>
    <t>04:47:06.70</t>
  </si>
  <si>
    <t>ZANATO</t>
  </si>
  <si>
    <t>DEMIS</t>
  </si>
  <si>
    <t>04:47:09.20</t>
  </si>
  <si>
    <t>ARISTEI</t>
  </si>
  <si>
    <t>04:47:11.30</t>
  </si>
  <si>
    <t>04:47:23.70</t>
  </si>
  <si>
    <t>04:47:24.50</t>
  </si>
  <si>
    <t>SANTAMARIA</t>
  </si>
  <si>
    <t>04:47:28.10</t>
  </si>
  <si>
    <t>VIROLI</t>
  </si>
  <si>
    <t>04:47:28.50</t>
  </si>
  <si>
    <t>LANZILLOTTI</t>
  </si>
  <si>
    <t>CICLI NERI PEDALE</t>
  </si>
  <si>
    <t>04:47:31.20</t>
  </si>
  <si>
    <t>04:47:31.80</t>
  </si>
  <si>
    <t>04:47:32.60</t>
  </si>
  <si>
    <t>FOGAZZI</t>
  </si>
  <si>
    <t>GS MONTENETTO</t>
  </si>
  <si>
    <t>04:47:36.40</t>
  </si>
  <si>
    <t>FACCINI</t>
  </si>
  <si>
    <t>PAOLO DENIS</t>
  </si>
  <si>
    <t>04:47:36.60</t>
  </si>
  <si>
    <t>04:47:37.30</t>
  </si>
  <si>
    <t>04:47:41.10</t>
  </si>
  <si>
    <t>BLACK BIKE UNITED</t>
  </si>
  <si>
    <t>04:47:42.00</t>
  </si>
  <si>
    <t>FRATTICCIOLI</t>
  </si>
  <si>
    <t>04:47:47.10</t>
  </si>
  <si>
    <t>MANELLI</t>
  </si>
  <si>
    <t>MANELLI CAR TEAM</t>
  </si>
  <si>
    <t>04:47:55.10</t>
  </si>
  <si>
    <t>GIACOMIN</t>
  </si>
  <si>
    <t>TEAM SANVIDO RENAULT</t>
  </si>
  <si>
    <t>04:47:58.60</t>
  </si>
  <si>
    <t>GUSSAGO</t>
  </si>
  <si>
    <t>04:47:59.50</t>
  </si>
  <si>
    <t>GALLI</t>
  </si>
  <si>
    <t>ASD SANT'AMBROGIO</t>
  </si>
  <si>
    <t>04:48:00.50</t>
  </si>
  <si>
    <t>FOSCHINI</t>
  </si>
  <si>
    <t>POLISPORTIVA FIORENZUOLA</t>
  </si>
  <si>
    <t>04:48:01.80</t>
  </si>
  <si>
    <t>VELO CLUB SALA</t>
  </si>
  <si>
    <t>04:48:03.30</t>
  </si>
  <si>
    <t>GIAMPIERI</t>
  </si>
  <si>
    <t>04:48:07.20</t>
  </si>
  <si>
    <t>ORI</t>
  </si>
  <si>
    <t>GIANLORENZO</t>
  </si>
  <si>
    <t>04:48:08.10</t>
  </si>
  <si>
    <t>04:48:10.50</t>
  </si>
  <si>
    <t>04:48:18.20</t>
  </si>
  <si>
    <t>SCOPELLITI</t>
  </si>
  <si>
    <t>TEAM STRAZZER</t>
  </si>
  <si>
    <t>04:48:19.50</t>
  </si>
  <si>
    <t>FOMASI</t>
  </si>
  <si>
    <t>MBT LIMIDO COMASCO</t>
  </si>
  <si>
    <t>04:48:21.20</t>
  </si>
  <si>
    <t>BICCINI</t>
  </si>
  <si>
    <t>04:48:24.00</t>
  </si>
  <si>
    <t>ZERO9 TEAM ASD</t>
  </si>
  <si>
    <t>04:48:25.10</t>
  </si>
  <si>
    <t>MARINI</t>
  </si>
  <si>
    <t>GIAN MARZIO</t>
  </si>
  <si>
    <t>04:48:29.40</t>
  </si>
  <si>
    <t>FARABINI</t>
  </si>
  <si>
    <t>04:48:34.00</t>
  </si>
  <si>
    <t>MOSCOTTI</t>
  </si>
  <si>
    <t>GS BRUGHERIO SPORTIVA</t>
  </si>
  <si>
    <t>04:48:35.50</t>
  </si>
  <si>
    <t>GOUSMAN</t>
  </si>
  <si>
    <t>URI</t>
  </si>
  <si>
    <t>04:48:36.40</t>
  </si>
  <si>
    <t>GASPARE</t>
  </si>
  <si>
    <t>04:48:41.40</t>
  </si>
  <si>
    <t>TEKNO BIKES</t>
  </si>
  <si>
    <t>04:48:42.20</t>
  </si>
  <si>
    <t>BASILISCHI</t>
  </si>
  <si>
    <t>04:48:43.10</t>
  </si>
  <si>
    <t>MINGARDO</t>
  </si>
  <si>
    <t>04:48:44.70</t>
  </si>
  <si>
    <t>PAULOTTO</t>
  </si>
  <si>
    <t>04:48:45.10</t>
  </si>
  <si>
    <t>SANTONI</t>
  </si>
  <si>
    <t>04:48:47.30</t>
  </si>
  <si>
    <t>VARISCO</t>
  </si>
  <si>
    <t>04:48:47.40</t>
  </si>
  <si>
    <t>PORTOLANI</t>
  </si>
  <si>
    <t>04:48:48.10</t>
  </si>
  <si>
    <t>FERRO</t>
  </si>
  <si>
    <t>04:48:49.30</t>
  </si>
  <si>
    <t>BROGNARA</t>
  </si>
  <si>
    <t>04:48:50.10</t>
  </si>
  <si>
    <t>COROMANO</t>
  </si>
  <si>
    <t>04:48:51.10</t>
  </si>
  <si>
    <t>04:48:51.70</t>
  </si>
  <si>
    <t>NEW TEAM 2006</t>
  </si>
  <si>
    <t>04:48:52.20</t>
  </si>
  <si>
    <t>GIASSI</t>
  </si>
  <si>
    <t>04:48:52.60</t>
  </si>
  <si>
    <t>MEW TEAM 2006</t>
  </si>
  <si>
    <t>04:48:54.70</t>
  </si>
  <si>
    <t>BORGOGNONI</t>
  </si>
  <si>
    <t>04:48:58.10</t>
  </si>
  <si>
    <t>BELATTI</t>
  </si>
  <si>
    <t>PEZZINI BIKE TEAM  A.S.D</t>
  </si>
  <si>
    <t>04:49:01.50</t>
  </si>
  <si>
    <t>LEZI</t>
  </si>
  <si>
    <t>04:49:02.50</t>
  </si>
  <si>
    <t>04:49:04.90</t>
  </si>
  <si>
    <t>POZZI</t>
  </si>
  <si>
    <t>04:49:08.20</t>
  </si>
  <si>
    <t>BOITO</t>
  </si>
  <si>
    <t>04:49:09.40</t>
  </si>
  <si>
    <t>LAZZERINI</t>
  </si>
  <si>
    <t>04:49:11.10</t>
  </si>
  <si>
    <t>TENASINI</t>
  </si>
  <si>
    <t>04:49:18.60</t>
  </si>
  <si>
    <t>BARACCO</t>
  </si>
  <si>
    <t>04:49:24.70</t>
  </si>
  <si>
    <t>FREDIANI</t>
  </si>
  <si>
    <t>04:49:25.70</t>
  </si>
  <si>
    <t>04:49:29.90</t>
  </si>
  <si>
    <t>04:49:30.00</t>
  </si>
  <si>
    <t>SERVADEI</t>
  </si>
  <si>
    <t>TEMPORIN</t>
  </si>
  <si>
    <t>04:49:33.00</t>
  </si>
  <si>
    <t>GASPARIN</t>
  </si>
  <si>
    <t>04:49:34.10</t>
  </si>
  <si>
    <t>ERIK STEFANO</t>
  </si>
  <si>
    <t>04:49:35.00</t>
  </si>
  <si>
    <t>04:49:39.10</t>
  </si>
  <si>
    <t>BERTOLA</t>
  </si>
  <si>
    <t>04:49:42.60</t>
  </si>
  <si>
    <t>04:49:45.40</t>
  </si>
  <si>
    <t>04:49:47.20</t>
  </si>
  <si>
    <t>04:49:48.20</t>
  </si>
  <si>
    <t>RAVAGLIOLI</t>
  </si>
  <si>
    <t>04:49:51.30</t>
  </si>
  <si>
    <t>LUCON</t>
  </si>
  <si>
    <t>GS PEDALE COGLIATESE</t>
  </si>
  <si>
    <t>ADALGISO</t>
  </si>
  <si>
    <t>ASD CICLI MONTANINI</t>
  </si>
  <si>
    <t>04:49:54.00</t>
  </si>
  <si>
    <t>SENNI</t>
  </si>
  <si>
    <t>04:49:58.50</t>
  </si>
  <si>
    <t>REZZONICO</t>
  </si>
  <si>
    <t>04:50:01.20</t>
  </si>
  <si>
    <t>04:50:01.30</t>
  </si>
  <si>
    <t>CAMURANI</t>
  </si>
  <si>
    <t>04:50:02.30</t>
  </si>
  <si>
    <t>GIACOMETTI</t>
  </si>
  <si>
    <t>ASCD MEDICINA</t>
  </si>
  <si>
    <t>04:50:16.00</t>
  </si>
  <si>
    <t>04:50:19.30</t>
  </si>
  <si>
    <t>PASTRELLO</t>
  </si>
  <si>
    <t>CASARIN</t>
  </si>
  <si>
    <t>04:50:21.30</t>
  </si>
  <si>
    <t>CASSIN</t>
  </si>
  <si>
    <t>UN.CICLISTICA  SANVITESE LIBERTAS</t>
  </si>
  <si>
    <t>04:50:36.40</t>
  </si>
  <si>
    <t>SPONTON</t>
  </si>
  <si>
    <t>04:50:39.20</t>
  </si>
  <si>
    <t>BERTOLINO</t>
  </si>
  <si>
    <t>04:50:40.60</t>
  </si>
  <si>
    <t>CASTELLARIN</t>
  </si>
  <si>
    <t>GLEN</t>
  </si>
  <si>
    <t>04:50:47.10</t>
  </si>
  <si>
    <t>04:50:53.70</t>
  </si>
  <si>
    <t>04:51:00.20</t>
  </si>
  <si>
    <t>GHELLER</t>
  </si>
  <si>
    <t>04:51:00.40</t>
  </si>
  <si>
    <t>SALINES</t>
  </si>
  <si>
    <t>GS PEDALE GAMBETTOLESE</t>
  </si>
  <si>
    <t>04:51:13.70</t>
  </si>
  <si>
    <t>CAPURSO</t>
  </si>
  <si>
    <t>04:51:18.00</t>
  </si>
  <si>
    <t>TURNOVER</t>
  </si>
  <si>
    <t>04:51:18.40</t>
  </si>
  <si>
    <t>BIANCALANI</t>
  </si>
  <si>
    <t>AC WINDEST</t>
  </si>
  <si>
    <t>04:51:28.00</t>
  </si>
  <si>
    <t>04:51:32.50</t>
  </si>
  <si>
    <t>DI LIBERATO</t>
  </si>
  <si>
    <t>GS DEVIL BIKE PESCARA</t>
  </si>
  <si>
    <t>04:51:35.10</t>
  </si>
  <si>
    <t>BALESTRI</t>
  </si>
  <si>
    <t>04:51:36.30</t>
  </si>
  <si>
    <t>JAJANI</t>
  </si>
  <si>
    <t>04:51:40.70</t>
  </si>
  <si>
    <t>MONIKA</t>
  </si>
  <si>
    <t>04:51:40.90</t>
  </si>
  <si>
    <t>CALDERONI</t>
  </si>
  <si>
    <t>04:51:41.50</t>
  </si>
  <si>
    <t>PULAZZA</t>
  </si>
  <si>
    <t>04:51:43.00</t>
  </si>
  <si>
    <t>GAGGINI</t>
  </si>
  <si>
    <t>04:51:43.90</t>
  </si>
  <si>
    <t>FLAIN</t>
  </si>
  <si>
    <t>ASD BDC-TEAM.IT</t>
  </si>
  <si>
    <t>04:51:45.30</t>
  </si>
  <si>
    <t>QUADRELLI</t>
  </si>
  <si>
    <t>G.C POL 2000</t>
  </si>
  <si>
    <t>04:51:45.50</t>
  </si>
  <si>
    <t>VALERI</t>
  </si>
  <si>
    <t>CAMILLO</t>
  </si>
  <si>
    <t>04:51:50.30</t>
  </si>
  <si>
    <t>OTTAVIANI</t>
  </si>
  <si>
    <t>04:52:06.00</t>
  </si>
  <si>
    <t>BICCHIELLI</t>
  </si>
  <si>
    <t>04:52:19.90</t>
  </si>
  <si>
    <t>ORAZI</t>
  </si>
  <si>
    <t>04:52:23.20</t>
  </si>
  <si>
    <t>04:52:29.10</t>
  </si>
  <si>
    <t>CARONICI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</si>
</sst>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6"/>
  <sheetViews>
    <sheetView workbookViewId="0" topLeftCell="A1">
      <selection activeCell="A1" sqref="A1:IV13"/>
    </sheetView>
  </sheetViews>
  <sheetFormatPr defaultColWidth="9.140625" defaultRowHeight="12.75"/>
  <cols>
    <col min="2" max="2" width="22.57421875" style="0" customWidth="1"/>
    <col min="3" max="3" width="20.8515625" style="0" customWidth="1"/>
    <col min="7" max="7" width="47.140625" style="0" customWidth="1"/>
  </cols>
  <sheetData>
    <row r="1" spans="1:9" ht="12.75">
      <c r="A1" s="6" t="s">
        <v>6988</v>
      </c>
      <c r="B1" s="6"/>
      <c r="C1" s="6"/>
      <c r="D1" s="6"/>
      <c r="E1" s="6"/>
      <c r="F1" s="6"/>
      <c r="G1" s="6"/>
      <c r="H1" s="6"/>
      <c r="I1" s="6"/>
    </row>
    <row r="2" spans="1:9" s="1" customFormat="1" ht="12.75">
      <c r="A2" s="3">
        <v>220</v>
      </c>
      <c r="B2" s="3" t="s">
        <v>7217</v>
      </c>
      <c r="C2" s="3" t="s">
        <v>2991</v>
      </c>
      <c r="D2" s="3" t="s">
        <v>2780</v>
      </c>
      <c r="E2" s="3" t="s">
        <v>2823</v>
      </c>
      <c r="F2" s="3" t="s">
        <v>6977</v>
      </c>
      <c r="G2" s="3" t="s">
        <v>5536</v>
      </c>
      <c r="H2" s="3" t="s">
        <v>7218</v>
      </c>
      <c r="I2" s="3">
        <v>32.88</v>
      </c>
    </row>
    <row r="3" spans="1:9" s="1" customFormat="1" ht="12.75">
      <c r="A3" s="3">
        <v>476</v>
      </c>
      <c r="B3" s="3" t="s">
        <v>2393</v>
      </c>
      <c r="C3" s="3" t="s">
        <v>2857</v>
      </c>
      <c r="D3" s="3" t="s">
        <v>2780</v>
      </c>
      <c r="E3" s="3" t="s">
        <v>2781</v>
      </c>
      <c r="F3" s="3" t="s">
        <v>6978</v>
      </c>
      <c r="G3" s="3" t="s">
        <v>5536</v>
      </c>
      <c r="H3" s="3" t="s">
        <v>7713</v>
      </c>
      <c r="I3" s="3">
        <v>31.29</v>
      </c>
    </row>
    <row r="4" spans="1:9" s="1" customFormat="1" ht="12.75">
      <c r="A4" s="3">
        <v>581</v>
      </c>
      <c r="B4" s="3" t="s">
        <v>2137</v>
      </c>
      <c r="C4" s="3" t="s">
        <v>2861</v>
      </c>
      <c r="D4" s="3" t="s">
        <v>2780</v>
      </c>
      <c r="E4" s="3" t="s">
        <v>2781</v>
      </c>
      <c r="F4" s="3" t="s">
        <v>6979</v>
      </c>
      <c r="G4" s="3" t="s">
        <v>5536</v>
      </c>
      <c r="H4" s="3" t="s">
        <v>3690</v>
      </c>
      <c r="I4" s="3">
        <v>30.71</v>
      </c>
    </row>
    <row r="5" spans="1:9" s="1" customFormat="1" ht="12.75">
      <c r="A5" s="3">
        <v>636</v>
      </c>
      <c r="B5" s="3" t="s">
        <v>5384</v>
      </c>
      <c r="C5" s="3" t="s">
        <v>3114</v>
      </c>
      <c r="D5" s="3" t="s">
        <v>2780</v>
      </c>
      <c r="E5" s="3" t="s">
        <v>2781</v>
      </c>
      <c r="F5" s="3" t="s">
        <v>6980</v>
      </c>
      <c r="G5" s="3" t="s">
        <v>5536</v>
      </c>
      <c r="H5" s="3" t="s">
        <v>3800</v>
      </c>
      <c r="I5" s="3">
        <v>30.35</v>
      </c>
    </row>
    <row r="6" spans="1:9" s="1" customFormat="1" ht="12.75">
      <c r="A6" s="3">
        <v>1264</v>
      </c>
      <c r="B6" s="3" t="s">
        <v>5848</v>
      </c>
      <c r="C6" s="3" t="s">
        <v>2840</v>
      </c>
      <c r="D6" s="3" t="s">
        <v>2780</v>
      </c>
      <c r="E6" s="3" t="s">
        <v>2823</v>
      </c>
      <c r="F6" s="3" t="s">
        <v>6981</v>
      </c>
      <c r="G6" s="3" t="s">
        <v>5536</v>
      </c>
      <c r="H6" s="3" t="s">
        <v>5952</v>
      </c>
      <c r="I6" s="5">
        <v>27</v>
      </c>
    </row>
    <row r="7" spans="1:9" s="1" customFormat="1" ht="12.75">
      <c r="A7" s="3">
        <v>1265</v>
      </c>
      <c r="B7" s="3" t="s">
        <v>2764</v>
      </c>
      <c r="C7" s="3" t="s">
        <v>3276</v>
      </c>
      <c r="D7" s="3" t="s">
        <v>2780</v>
      </c>
      <c r="E7" s="3" t="s">
        <v>2781</v>
      </c>
      <c r="F7" s="3" t="s">
        <v>6982</v>
      </c>
      <c r="G7" s="3" t="s">
        <v>5536</v>
      </c>
      <c r="H7" s="3" t="s">
        <v>5953</v>
      </c>
      <c r="I7" s="3">
        <v>26.99</v>
      </c>
    </row>
    <row r="8" spans="1:9" s="1" customFormat="1" ht="12.75">
      <c r="A8" s="3">
        <v>1266</v>
      </c>
      <c r="B8" s="3" t="s">
        <v>5954</v>
      </c>
      <c r="C8" s="3" t="s">
        <v>2830</v>
      </c>
      <c r="D8" s="3" t="s">
        <v>2780</v>
      </c>
      <c r="E8" s="3" t="s">
        <v>2781</v>
      </c>
      <c r="F8" s="3" t="s">
        <v>6983</v>
      </c>
      <c r="G8" s="3" t="s">
        <v>5536</v>
      </c>
      <c r="H8" s="3" t="s">
        <v>5955</v>
      </c>
      <c r="I8" s="3">
        <v>26.99</v>
      </c>
    </row>
    <row r="9" spans="1:9" s="1" customFormat="1" ht="12.75">
      <c r="A9" s="3">
        <v>1267</v>
      </c>
      <c r="B9" s="3" t="s">
        <v>2764</v>
      </c>
      <c r="C9" s="3" t="s">
        <v>2865</v>
      </c>
      <c r="D9" s="3" t="s">
        <v>2780</v>
      </c>
      <c r="E9" s="3" t="s">
        <v>2818</v>
      </c>
      <c r="F9" s="3" t="s">
        <v>6984</v>
      </c>
      <c r="G9" s="3" t="s">
        <v>5536</v>
      </c>
      <c r="H9" s="3" t="s">
        <v>5956</v>
      </c>
      <c r="I9" s="3">
        <v>26.99</v>
      </c>
    </row>
    <row r="10" spans="1:9" s="1" customFormat="1" ht="12.75">
      <c r="A10" s="3">
        <v>1268</v>
      </c>
      <c r="B10" s="3" t="s">
        <v>977</v>
      </c>
      <c r="C10" s="3" t="s">
        <v>2966</v>
      </c>
      <c r="D10" s="3" t="s">
        <v>2780</v>
      </c>
      <c r="E10" s="3" t="s">
        <v>2823</v>
      </c>
      <c r="F10" s="3" t="s">
        <v>6985</v>
      </c>
      <c r="G10" s="3" t="s">
        <v>5536</v>
      </c>
      <c r="H10" s="3" t="s">
        <v>5957</v>
      </c>
      <c r="I10" s="3">
        <v>26.99</v>
      </c>
    </row>
    <row r="11" spans="1:9" s="1" customFormat="1" ht="12.75">
      <c r="A11" s="3">
        <v>1269</v>
      </c>
      <c r="B11" s="3" t="s">
        <v>5958</v>
      </c>
      <c r="C11" s="3" t="s">
        <v>353</v>
      </c>
      <c r="D11" s="3" t="s">
        <v>2780</v>
      </c>
      <c r="E11" s="3" t="s">
        <v>2781</v>
      </c>
      <c r="F11" s="3" t="s">
        <v>6986</v>
      </c>
      <c r="G11" s="3" t="s">
        <v>5536</v>
      </c>
      <c r="H11" s="3" t="s">
        <v>5959</v>
      </c>
      <c r="I11" s="3">
        <v>26.99</v>
      </c>
    </row>
    <row r="12" spans="1:9" s="1" customFormat="1" ht="12.75">
      <c r="A12" s="3">
        <v>1272</v>
      </c>
      <c r="B12" s="3" t="s">
        <v>5958</v>
      </c>
      <c r="C12" s="3" t="s">
        <v>3438</v>
      </c>
      <c r="D12" s="3" t="s">
        <v>2780</v>
      </c>
      <c r="E12" s="3" t="s">
        <v>2823</v>
      </c>
      <c r="F12" s="3" t="s">
        <v>6987</v>
      </c>
      <c r="G12" s="3" t="s">
        <v>5536</v>
      </c>
      <c r="H12" s="3" t="s">
        <v>5964</v>
      </c>
      <c r="I12" s="3">
        <v>26.97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t="s">
        <v>2769</v>
      </c>
      <c r="B14" t="s">
        <v>2770</v>
      </c>
      <c r="C14" t="s">
        <v>2771</v>
      </c>
      <c r="D14" t="s">
        <v>2772</v>
      </c>
      <c r="E14" t="s">
        <v>2773</v>
      </c>
      <c r="F14" t="s">
        <v>2774</v>
      </c>
      <c r="G14" t="s">
        <v>2775</v>
      </c>
      <c r="H14" t="s">
        <v>2776</v>
      </c>
      <c r="I14" t="s">
        <v>2777</v>
      </c>
    </row>
    <row r="15" spans="1:9" ht="12.75">
      <c r="A15">
        <v>1</v>
      </c>
      <c r="B15" t="s">
        <v>3386</v>
      </c>
      <c r="C15" t="s">
        <v>2963</v>
      </c>
      <c r="D15" t="s">
        <v>2780</v>
      </c>
      <c r="E15" t="s">
        <v>2947</v>
      </c>
      <c r="F15" t="str">
        <f>"1/16"</f>
        <v>1/16</v>
      </c>
      <c r="G15" t="s">
        <v>2982</v>
      </c>
      <c r="H15" t="s">
        <v>2548</v>
      </c>
      <c r="I15">
        <v>37.83</v>
      </c>
    </row>
    <row r="16" spans="1:9" ht="12.75">
      <c r="A16">
        <v>2</v>
      </c>
      <c r="B16" t="s">
        <v>2549</v>
      </c>
      <c r="C16" t="s">
        <v>2550</v>
      </c>
      <c r="D16" t="s">
        <v>2780</v>
      </c>
      <c r="E16" t="s">
        <v>2947</v>
      </c>
      <c r="F16" t="str">
        <f>"2/16"</f>
        <v>2/16</v>
      </c>
      <c r="G16" t="s">
        <v>3277</v>
      </c>
      <c r="H16" t="s">
        <v>2551</v>
      </c>
      <c r="I16">
        <v>37.83</v>
      </c>
    </row>
    <row r="17" spans="1:9" ht="12.75">
      <c r="A17">
        <v>3</v>
      </c>
      <c r="B17" t="s">
        <v>2552</v>
      </c>
      <c r="C17" t="s">
        <v>3438</v>
      </c>
      <c r="D17" t="s">
        <v>2780</v>
      </c>
      <c r="E17" t="s">
        <v>2781</v>
      </c>
      <c r="F17" t="str">
        <f>"1/354"</f>
        <v>1/354</v>
      </c>
      <c r="G17" t="s">
        <v>2553</v>
      </c>
      <c r="H17" t="s">
        <v>2554</v>
      </c>
      <c r="I17">
        <v>37.83</v>
      </c>
    </row>
    <row r="18" spans="1:9" ht="12.75">
      <c r="A18">
        <v>4</v>
      </c>
      <c r="B18" t="s">
        <v>2555</v>
      </c>
      <c r="C18" t="s">
        <v>2556</v>
      </c>
      <c r="D18" t="s">
        <v>2780</v>
      </c>
      <c r="E18" t="s">
        <v>2947</v>
      </c>
      <c r="F18" t="str">
        <f>"3/16"</f>
        <v>3/16</v>
      </c>
      <c r="G18" t="s">
        <v>2557</v>
      </c>
      <c r="H18" t="s">
        <v>2558</v>
      </c>
      <c r="I18">
        <v>37.82</v>
      </c>
    </row>
    <row r="19" spans="1:9" ht="12.75">
      <c r="A19">
        <v>5</v>
      </c>
      <c r="B19" t="s">
        <v>2559</v>
      </c>
      <c r="C19" t="s">
        <v>3438</v>
      </c>
      <c r="D19" t="s">
        <v>2780</v>
      </c>
      <c r="E19" t="s">
        <v>2947</v>
      </c>
      <c r="F19" t="str">
        <f>"4/16"</f>
        <v>4/16</v>
      </c>
      <c r="G19" t="s">
        <v>2982</v>
      </c>
      <c r="H19" t="s">
        <v>2560</v>
      </c>
      <c r="I19">
        <v>37.81</v>
      </c>
    </row>
    <row r="20" spans="1:9" ht="12.75">
      <c r="A20">
        <v>6</v>
      </c>
      <c r="B20" t="s">
        <v>2561</v>
      </c>
      <c r="C20" t="s">
        <v>3438</v>
      </c>
      <c r="D20" t="s">
        <v>2780</v>
      </c>
      <c r="E20" t="s">
        <v>2781</v>
      </c>
      <c r="F20" t="str">
        <f>"2/354"</f>
        <v>2/354</v>
      </c>
      <c r="G20" t="s">
        <v>3011</v>
      </c>
      <c r="H20" t="s">
        <v>2562</v>
      </c>
      <c r="I20">
        <v>37.81</v>
      </c>
    </row>
    <row r="21" spans="1:9" ht="12.75">
      <c r="A21">
        <v>7</v>
      </c>
      <c r="B21" t="s">
        <v>2563</v>
      </c>
      <c r="C21" t="s">
        <v>2807</v>
      </c>
      <c r="D21" t="s">
        <v>2780</v>
      </c>
      <c r="E21" t="s">
        <v>2823</v>
      </c>
      <c r="F21" t="str">
        <f>"1/668"</f>
        <v>1/668</v>
      </c>
      <c r="G21" t="s">
        <v>2564</v>
      </c>
      <c r="H21" t="s">
        <v>2565</v>
      </c>
      <c r="I21">
        <v>37.81</v>
      </c>
    </row>
    <row r="22" spans="1:9" ht="12.75">
      <c r="A22">
        <v>8</v>
      </c>
      <c r="B22" t="s">
        <v>2566</v>
      </c>
      <c r="C22" t="s">
        <v>2567</v>
      </c>
      <c r="D22" t="s">
        <v>2780</v>
      </c>
      <c r="E22" t="s">
        <v>2947</v>
      </c>
      <c r="F22" t="str">
        <f>"5/16"</f>
        <v>5/16</v>
      </c>
      <c r="G22" t="s">
        <v>2568</v>
      </c>
      <c r="H22" t="s">
        <v>2569</v>
      </c>
      <c r="I22">
        <v>37.81</v>
      </c>
    </row>
    <row r="23" spans="1:9" ht="12.75">
      <c r="A23">
        <v>9</v>
      </c>
      <c r="B23" t="s">
        <v>2570</v>
      </c>
      <c r="C23" t="s">
        <v>3464</v>
      </c>
      <c r="D23" t="s">
        <v>2780</v>
      </c>
      <c r="E23" t="s">
        <v>2781</v>
      </c>
      <c r="F23" t="str">
        <f>"3/354"</f>
        <v>3/354</v>
      </c>
      <c r="G23" t="s">
        <v>2571</v>
      </c>
      <c r="H23" t="s">
        <v>2572</v>
      </c>
      <c r="I23">
        <v>37.81</v>
      </c>
    </row>
    <row r="24" spans="1:9" ht="12.75">
      <c r="A24">
        <v>10</v>
      </c>
      <c r="B24" t="s">
        <v>2573</v>
      </c>
      <c r="C24" t="s">
        <v>3174</v>
      </c>
      <c r="D24" t="s">
        <v>2780</v>
      </c>
      <c r="E24" t="s">
        <v>2947</v>
      </c>
      <c r="F24" t="str">
        <f>"6/16"</f>
        <v>6/16</v>
      </c>
      <c r="G24" t="s">
        <v>2869</v>
      </c>
      <c r="H24" t="s">
        <v>2574</v>
      </c>
      <c r="I24">
        <v>37.81</v>
      </c>
    </row>
    <row r="25" spans="1:9" ht="12.75">
      <c r="A25">
        <v>11</v>
      </c>
      <c r="B25" t="s">
        <v>2575</v>
      </c>
      <c r="C25" t="s">
        <v>3615</v>
      </c>
      <c r="D25" t="s">
        <v>2780</v>
      </c>
      <c r="E25" t="s">
        <v>2799</v>
      </c>
      <c r="F25" t="str">
        <f>"1/100"</f>
        <v>1/100</v>
      </c>
      <c r="G25" t="s">
        <v>2564</v>
      </c>
      <c r="H25" t="s">
        <v>2576</v>
      </c>
      <c r="I25">
        <v>37.81</v>
      </c>
    </row>
    <row r="26" spans="1:9" ht="12.75">
      <c r="A26">
        <v>12</v>
      </c>
      <c r="B26" t="s">
        <v>2577</v>
      </c>
      <c r="C26" t="s">
        <v>2578</v>
      </c>
      <c r="D26" t="s">
        <v>2780</v>
      </c>
      <c r="E26" t="s">
        <v>2947</v>
      </c>
      <c r="F26" t="str">
        <f>"7/16"</f>
        <v>7/16</v>
      </c>
      <c r="G26" t="s">
        <v>2557</v>
      </c>
      <c r="H26" t="s">
        <v>2579</v>
      </c>
      <c r="I26">
        <v>37.81</v>
      </c>
    </row>
    <row r="27" spans="1:9" ht="12.75">
      <c r="A27">
        <v>13</v>
      </c>
      <c r="B27" t="s">
        <v>2580</v>
      </c>
      <c r="C27" t="s">
        <v>84</v>
      </c>
      <c r="D27" t="s">
        <v>2780</v>
      </c>
      <c r="E27" t="s">
        <v>2947</v>
      </c>
      <c r="F27" t="str">
        <f>"8/16"</f>
        <v>8/16</v>
      </c>
      <c r="G27" t="s">
        <v>3277</v>
      </c>
      <c r="H27" t="s">
        <v>2581</v>
      </c>
      <c r="I27">
        <v>37.81</v>
      </c>
    </row>
    <row r="28" spans="1:9" ht="12.75">
      <c r="A28">
        <v>14</v>
      </c>
      <c r="B28" t="s">
        <v>2582</v>
      </c>
      <c r="C28" t="s">
        <v>2942</v>
      </c>
      <c r="D28" t="s">
        <v>2780</v>
      </c>
      <c r="E28" t="s">
        <v>2781</v>
      </c>
      <c r="F28" t="str">
        <f>"4/354"</f>
        <v>4/354</v>
      </c>
      <c r="G28" t="s">
        <v>3134</v>
      </c>
      <c r="H28" t="s">
        <v>2583</v>
      </c>
      <c r="I28">
        <v>37.8</v>
      </c>
    </row>
    <row r="29" spans="1:9" ht="12.75">
      <c r="A29">
        <v>15</v>
      </c>
      <c r="B29" t="s">
        <v>2584</v>
      </c>
      <c r="C29" t="s">
        <v>2585</v>
      </c>
      <c r="D29" t="s">
        <v>2780</v>
      </c>
      <c r="E29" t="s">
        <v>2947</v>
      </c>
      <c r="F29" t="str">
        <f>"9/16"</f>
        <v>9/16</v>
      </c>
      <c r="G29" t="s">
        <v>2982</v>
      </c>
      <c r="H29" t="s">
        <v>2586</v>
      </c>
      <c r="I29">
        <v>37.52</v>
      </c>
    </row>
    <row r="30" spans="1:9" ht="12.75">
      <c r="A30">
        <v>16</v>
      </c>
      <c r="B30" t="s">
        <v>2587</v>
      </c>
      <c r="C30" t="s">
        <v>2588</v>
      </c>
      <c r="D30" t="s">
        <v>2780</v>
      </c>
      <c r="E30" t="s">
        <v>2947</v>
      </c>
      <c r="F30" t="str">
        <f>"10/16"</f>
        <v>10/16</v>
      </c>
      <c r="G30" t="s">
        <v>2869</v>
      </c>
      <c r="H30" t="s">
        <v>2589</v>
      </c>
      <c r="I30">
        <v>36.85</v>
      </c>
    </row>
    <row r="31" spans="1:9" ht="12.75">
      <c r="A31">
        <v>17</v>
      </c>
      <c r="B31" t="s">
        <v>2590</v>
      </c>
      <c r="C31" t="s">
        <v>2591</v>
      </c>
      <c r="D31" t="s">
        <v>2780</v>
      </c>
      <c r="E31" t="s">
        <v>2799</v>
      </c>
      <c r="F31" t="str">
        <f>"2/100"</f>
        <v>2/100</v>
      </c>
      <c r="G31" t="s">
        <v>3277</v>
      </c>
      <c r="H31" t="s">
        <v>2592</v>
      </c>
      <c r="I31">
        <v>36.84</v>
      </c>
    </row>
    <row r="32" spans="1:9" ht="12.75">
      <c r="A32">
        <v>18</v>
      </c>
      <c r="B32" t="s">
        <v>2593</v>
      </c>
      <c r="C32" t="s">
        <v>2861</v>
      </c>
      <c r="D32" t="s">
        <v>2780</v>
      </c>
      <c r="E32" t="s">
        <v>2823</v>
      </c>
      <c r="F32" t="str">
        <f>"2/668"</f>
        <v>2/668</v>
      </c>
      <c r="G32" t="s">
        <v>3338</v>
      </c>
      <c r="H32" t="s">
        <v>2594</v>
      </c>
      <c r="I32">
        <v>36.55</v>
      </c>
    </row>
    <row r="33" spans="1:9" ht="12.75">
      <c r="A33">
        <v>19</v>
      </c>
      <c r="B33" t="s">
        <v>2595</v>
      </c>
      <c r="C33" t="s">
        <v>2830</v>
      </c>
      <c r="D33" t="s">
        <v>2780</v>
      </c>
      <c r="E33" t="s">
        <v>2781</v>
      </c>
      <c r="F33" t="str">
        <f>"5/354"</f>
        <v>5/354</v>
      </c>
      <c r="G33" t="s">
        <v>942</v>
      </c>
      <c r="H33" t="s">
        <v>2596</v>
      </c>
      <c r="I33">
        <v>36.55</v>
      </c>
    </row>
    <row r="34" spans="1:9" ht="12.75">
      <c r="A34">
        <v>20</v>
      </c>
      <c r="B34" t="s">
        <v>2597</v>
      </c>
      <c r="C34" t="s">
        <v>3387</v>
      </c>
      <c r="D34" t="s">
        <v>2780</v>
      </c>
      <c r="E34" t="s">
        <v>2947</v>
      </c>
      <c r="F34" t="str">
        <f>"11/16"</f>
        <v>11/16</v>
      </c>
      <c r="G34" t="s">
        <v>2831</v>
      </c>
      <c r="H34" t="s">
        <v>2598</v>
      </c>
      <c r="I34">
        <v>36.55</v>
      </c>
    </row>
    <row r="35" spans="1:9" ht="12.75">
      <c r="A35">
        <v>21</v>
      </c>
      <c r="B35" t="s">
        <v>2599</v>
      </c>
      <c r="C35" t="s">
        <v>2836</v>
      </c>
      <c r="D35" t="s">
        <v>2780</v>
      </c>
      <c r="E35" t="s">
        <v>2947</v>
      </c>
      <c r="F35" t="str">
        <f>"12/16"</f>
        <v>12/16</v>
      </c>
      <c r="G35" t="s">
        <v>2600</v>
      </c>
      <c r="H35" t="s">
        <v>2601</v>
      </c>
      <c r="I35">
        <v>35.88</v>
      </c>
    </row>
    <row r="36" spans="1:9" ht="12.75">
      <c r="A36">
        <v>22</v>
      </c>
      <c r="B36" t="s">
        <v>2602</v>
      </c>
      <c r="C36" t="s">
        <v>3560</v>
      </c>
      <c r="D36" t="s">
        <v>2780</v>
      </c>
      <c r="E36" t="s">
        <v>2947</v>
      </c>
      <c r="F36" t="str">
        <f>"13/16"</f>
        <v>13/16</v>
      </c>
      <c r="G36" t="s">
        <v>942</v>
      </c>
      <c r="H36" t="s">
        <v>2603</v>
      </c>
      <c r="I36">
        <v>35.88</v>
      </c>
    </row>
    <row r="37" spans="1:9" ht="12.75">
      <c r="A37">
        <v>23</v>
      </c>
      <c r="B37" t="s">
        <v>1128</v>
      </c>
      <c r="C37" t="s">
        <v>2830</v>
      </c>
      <c r="D37" t="s">
        <v>2780</v>
      </c>
      <c r="E37" t="s">
        <v>2823</v>
      </c>
      <c r="F37" t="str">
        <f>"3/668"</f>
        <v>3/668</v>
      </c>
      <c r="G37" t="s">
        <v>942</v>
      </c>
      <c r="H37" t="s">
        <v>2603</v>
      </c>
      <c r="I37">
        <v>35.88</v>
      </c>
    </row>
    <row r="38" spans="1:9" ht="12.75">
      <c r="A38">
        <v>24</v>
      </c>
      <c r="B38" t="s">
        <v>286</v>
      </c>
      <c r="C38" t="s">
        <v>2963</v>
      </c>
      <c r="D38" t="s">
        <v>2780</v>
      </c>
      <c r="E38" t="s">
        <v>2823</v>
      </c>
      <c r="F38" t="str">
        <f>"4/668"</f>
        <v>4/668</v>
      </c>
      <c r="G38" t="s">
        <v>3338</v>
      </c>
      <c r="H38" t="s">
        <v>2604</v>
      </c>
      <c r="I38">
        <v>35.88</v>
      </c>
    </row>
    <row r="39" spans="1:9" ht="12.75">
      <c r="A39">
        <v>25</v>
      </c>
      <c r="B39" t="s">
        <v>2605</v>
      </c>
      <c r="C39" t="s">
        <v>2807</v>
      </c>
      <c r="D39" t="s">
        <v>2780</v>
      </c>
      <c r="E39" t="s">
        <v>2781</v>
      </c>
      <c r="F39" t="str">
        <f>"6/354"</f>
        <v>6/354</v>
      </c>
      <c r="G39" t="s">
        <v>3134</v>
      </c>
      <c r="H39" t="s">
        <v>2604</v>
      </c>
      <c r="I39">
        <v>35.88</v>
      </c>
    </row>
    <row r="40" spans="1:9" ht="12.75">
      <c r="A40">
        <v>26</v>
      </c>
      <c r="B40" t="s">
        <v>2606</v>
      </c>
      <c r="C40" t="s">
        <v>2951</v>
      </c>
      <c r="D40" t="s">
        <v>2780</v>
      </c>
      <c r="E40" t="s">
        <v>2799</v>
      </c>
      <c r="F40" t="str">
        <f>"3/100"</f>
        <v>3/100</v>
      </c>
      <c r="G40" t="s">
        <v>2607</v>
      </c>
      <c r="H40" t="s">
        <v>2608</v>
      </c>
      <c r="I40">
        <v>35.73</v>
      </c>
    </row>
    <row r="41" spans="1:9" ht="12.75">
      <c r="A41">
        <v>27</v>
      </c>
      <c r="B41" t="s">
        <v>2609</v>
      </c>
      <c r="C41" t="s">
        <v>615</v>
      </c>
      <c r="D41" t="s">
        <v>2780</v>
      </c>
      <c r="E41" t="s">
        <v>2781</v>
      </c>
      <c r="F41" t="str">
        <f>"7/354"</f>
        <v>7/354</v>
      </c>
      <c r="G41" t="s">
        <v>3300</v>
      </c>
      <c r="H41" t="s">
        <v>2610</v>
      </c>
      <c r="I41">
        <v>35.57</v>
      </c>
    </row>
    <row r="42" spans="1:9" ht="12.75">
      <c r="A42">
        <v>28</v>
      </c>
      <c r="B42" t="s">
        <v>2611</v>
      </c>
      <c r="C42" t="s">
        <v>2612</v>
      </c>
      <c r="D42" t="s">
        <v>2780</v>
      </c>
      <c r="E42" t="s">
        <v>2781</v>
      </c>
      <c r="F42" t="str">
        <f>"8/354"</f>
        <v>8/354</v>
      </c>
      <c r="G42" t="s">
        <v>2851</v>
      </c>
      <c r="H42" t="s">
        <v>2613</v>
      </c>
      <c r="I42">
        <v>35.54</v>
      </c>
    </row>
    <row r="43" spans="1:9" ht="12.75">
      <c r="A43">
        <v>29</v>
      </c>
      <c r="B43" t="s">
        <v>2614</v>
      </c>
      <c r="C43" t="s">
        <v>3438</v>
      </c>
      <c r="D43" t="s">
        <v>2780</v>
      </c>
      <c r="E43" t="s">
        <v>2823</v>
      </c>
      <c r="F43" t="str">
        <f>"5/668"</f>
        <v>5/668</v>
      </c>
      <c r="G43" t="s">
        <v>2920</v>
      </c>
      <c r="H43" t="s">
        <v>2615</v>
      </c>
      <c r="I43">
        <v>35.49</v>
      </c>
    </row>
    <row r="44" spans="1:9" ht="12.75">
      <c r="A44">
        <v>30</v>
      </c>
      <c r="B44" t="s">
        <v>5116</v>
      </c>
      <c r="C44" t="s">
        <v>3665</v>
      </c>
      <c r="D44" t="s">
        <v>2780</v>
      </c>
      <c r="E44" t="s">
        <v>2781</v>
      </c>
      <c r="F44" t="str">
        <f>"9/354"</f>
        <v>9/354</v>
      </c>
      <c r="G44" t="s">
        <v>2920</v>
      </c>
      <c r="H44" t="s">
        <v>2616</v>
      </c>
      <c r="I44">
        <v>35.46</v>
      </c>
    </row>
    <row r="45" spans="1:9" ht="12.75">
      <c r="A45">
        <v>31</v>
      </c>
      <c r="B45" t="s">
        <v>5766</v>
      </c>
      <c r="C45" t="s">
        <v>3387</v>
      </c>
      <c r="D45" t="s">
        <v>2780</v>
      </c>
      <c r="E45" t="s">
        <v>2781</v>
      </c>
      <c r="F45" t="str">
        <f>"10/354"</f>
        <v>10/354</v>
      </c>
      <c r="G45" t="s">
        <v>2617</v>
      </c>
      <c r="H45" t="s">
        <v>2618</v>
      </c>
      <c r="I45">
        <v>35.41</v>
      </c>
    </row>
    <row r="46" spans="1:9" ht="12.75">
      <c r="A46">
        <v>32</v>
      </c>
      <c r="B46" t="s">
        <v>2619</v>
      </c>
      <c r="C46" t="s">
        <v>2836</v>
      </c>
      <c r="D46" t="s">
        <v>2780</v>
      </c>
      <c r="E46" t="s">
        <v>2786</v>
      </c>
      <c r="F46" t="str">
        <f>"1/44"</f>
        <v>1/44</v>
      </c>
      <c r="G46" t="s">
        <v>2620</v>
      </c>
      <c r="H46" t="s">
        <v>2621</v>
      </c>
      <c r="I46">
        <v>35.41</v>
      </c>
    </row>
    <row r="47" spans="1:9" ht="12.75">
      <c r="A47">
        <v>33</v>
      </c>
      <c r="B47" t="s">
        <v>2622</v>
      </c>
      <c r="C47" t="s">
        <v>2868</v>
      </c>
      <c r="D47" t="s">
        <v>2780</v>
      </c>
      <c r="E47" t="s">
        <v>2799</v>
      </c>
      <c r="F47" t="str">
        <f>"4/100"</f>
        <v>4/100</v>
      </c>
      <c r="G47" t="s">
        <v>18</v>
      </c>
      <c r="H47" t="s">
        <v>2623</v>
      </c>
      <c r="I47">
        <v>35.41</v>
      </c>
    </row>
    <row r="48" spans="1:9" ht="12.75">
      <c r="A48">
        <v>34</v>
      </c>
      <c r="B48" t="s">
        <v>629</v>
      </c>
      <c r="C48" t="s">
        <v>2836</v>
      </c>
      <c r="D48" t="s">
        <v>2780</v>
      </c>
      <c r="E48" t="s">
        <v>2818</v>
      </c>
      <c r="F48" t="str">
        <f>"1/380"</f>
        <v>1/380</v>
      </c>
      <c r="G48" t="s">
        <v>2920</v>
      </c>
      <c r="H48" t="s">
        <v>2624</v>
      </c>
      <c r="I48">
        <v>35.41</v>
      </c>
    </row>
    <row r="49" spans="1:9" ht="12.75">
      <c r="A49">
        <v>35</v>
      </c>
      <c r="B49" t="s">
        <v>3227</v>
      </c>
      <c r="C49" t="s">
        <v>109</v>
      </c>
      <c r="D49" t="s">
        <v>2780</v>
      </c>
      <c r="E49" t="s">
        <v>2786</v>
      </c>
      <c r="F49" t="str">
        <f>"2/44"</f>
        <v>2/44</v>
      </c>
      <c r="G49" t="s">
        <v>3516</v>
      </c>
      <c r="H49" t="s">
        <v>2625</v>
      </c>
      <c r="I49">
        <v>35.4</v>
      </c>
    </row>
    <row r="50" spans="1:9" ht="12.75">
      <c r="A50">
        <v>36</v>
      </c>
      <c r="B50" t="s">
        <v>1722</v>
      </c>
      <c r="C50" t="s">
        <v>3174</v>
      </c>
      <c r="D50" t="s">
        <v>2780</v>
      </c>
      <c r="E50" t="s">
        <v>2823</v>
      </c>
      <c r="F50" t="str">
        <f>"6/668"</f>
        <v>6/668</v>
      </c>
      <c r="G50" t="s">
        <v>3060</v>
      </c>
      <c r="H50" t="s">
        <v>2626</v>
      </c>
      <c r="I50">
        <v>35.38</v>
      </c>
    </row>
    <row r="51" spans="1:9" ht="12.75">
      <c r="A51">
        <v>37</v>
      </c>
      <c r="B51" t="s">
        <v>2627</v>
      </c>
      <c r="C51" t="s">
        <v>3045</v>
      </c>
      <c r="D51" t="s">
        <v>2780</v>
      </c>
      <c r="E51" t="s">
        <v>2781</v>
      </c>
      <c r="F51" t="str">
        <f>"11/354"</f>
        <v>11/354</v>
      </c>
      <c r="G51" t="s">
        <v>2628</v>
      </c>
      <c r="H51" t="s">
        <v>2629</v>
      </c>
      <c r="I51">
        <v>35.38</v>
      </c>
    </row>
    <row r="52" spans="1:9" ht="12.75">
      <c r="A52">
        <v>38</v>
      </c>
      <c r="B52" t="s">
        <v>2630</v>
      </c>
      <c r="C52" t="s">
        <v>2785</v>
      </c>
      <c r="D52" t="s">
        <v>2780</v>
      </c>
      <c r="E52" t="s">
        <v>2781</v>
      </c>
      <c r="F52" t="str">
        <f>"12/354"</f>
        <v>12/354</v>
      </c>
      <c r="G52" t="s">
        <v>3134</v>
      </c>
      <c r="H52" t="s">
        <v>2631</v>
      </c>
      <c r="I52">
        <v>35.38</v>
      </c>
    </row>
    <row r="53" spans="1:9" ht="12.75">
      <c r="A53">
        <v>39</v>
      </c>
      <c r="B53" t="s">
        <v>2632</v>
      </c>
      <c r="C53" t="s">
        <v>2963</v>
      </c>
      <c r="D53" t="s">
        <v>2780</v>
      </c>
      <c r="E53" t="s">
        <v>2781</v>
      </c>
      <c r="F53" t="str">
        <f>"13/354"</f>
        <v>13/354</v>
      </c>
      <c r="G53" t="s">
        <v>59</v>
      </c>
      <c r="H53" t="s">
        <v>2633</v>
      </c>
      <c r="I53">
        <v>35.37</v>
      </c>
    </row>
    <row r="54" spans="1:9" ht="12.75">
      <c r="A54">
        <v>40</v>
      </c>
      <c r="B54" t="s">
        <v>2634</v>
      </c>
      <c r="C54" t="s">
        <v>2635</v>
      </c>
      <c r="D54" t="s">
        <v>2780</v>
      </c>
      <c r="E54" t="s">
        <v>2818</v>
      </c>
      <c r="F54" t="str">
        <f>"2/380"</f>
        <v>2/380</v>
      </c>
      <c r="G54" t="s">
        <v>2636</v>
      </c>
      <c r="H54" t="s">
        <v>2637</v>
      </c>
      <c r="I54">
        <v>35.36</v>
      </c>
    </row>
    <row r="55" spans="1:9" ht="12.75">
      <c r="A55">
        <v>41</v>
      </c>
      <c r="B55" t="s">
        <v>2930</v>
      </c>
      <c r="C55" t="s">
        <v>610</v>
      </c>
      <c r="D55" t="s">
        <v>2780</v>
      </c>
      <c r="E55" t="s">
        <v>2781</v>
      </c>
      <c r="F55" t="str">
        <f>"14/354"</f>
        <v>14/354</v>
      </c>
      <c r="G55" t="s">
        <v>2804</v>
      </c>
      <c r="H55" t="s">
        <v>2638</v>
      </c>
      <c r="I55">
        <v>35.36</v>
      </c>
    </row>
    <row r="56" spans="1:9" ht="12.75">
      <c r="A56">
        <v>42</v>
      </c>
      <c r="B56" t="s">
        <v>5359</v>
      </c>
      <c r="C56" t="s">
        <v>2567</v>
      </c>
      <c r="D56" t="s">
        <v>2780</v>
      </c>
      <c r="E56" t="s">
        <v>2781</v>
      </c>
      <c r="F56" t="str">
        <f>"15/354"</f>
        <v>15/354</v>
      </c>
      <c r="G56" t="s">
        <v>3223</v>
      </c>
      <c r="H56" t="s">
        <v>2639</v>
      </c>
      <c r="I56">
        <v>35.35</v>
      </c>
    </row>
    <row r="57" spans="1:9" ht="12.75">
      <c r="A57">
        <v>43</v>
      </c>
      <c r="B57" t="s">
        <v>2640</v>
      </c>
      <c r="C57" t="s">
        <v>401</v>
      </c>
      <c r="D57" t="s">
        <v>2780</v>
      </c>
      <c r="E57" t="s">
        <v>2823</v>
      </c>
      <c r="F57" t="str">
        <f>"7/668"</f>
        <v>7/668</v>
      </c>
      <c r="G57" t="s">
        <v>2982</v>
      </c>
      <c r="H57" t="s">
        <v>2641</v>
      </c>
      <c r="I57">
        <v>35.34</v>
      </c>
    </row>
    <row r="58" spans="1:9" ht="12.75">
      <c r="A58">
        <v>44</v>
      </c>
      <c r="B58" t="s">
        <v>2642</v>
      </c>
      <c r="C58" t="s">
        <v>2814</v>
      </c>
      <c r="D58" t="s">
        <v>2780</v>
      </c>
      <c r="E58" t="s">
        <v>2799</v>
      </c>
      <c r="F58" t="str">
        <f>"5/100"</f>
        <v>5/100</v>
      </c>
      <c r="G58" t="s">
        <v>2643</v>
      </c>
      <c r="H58" t="s">
        <v>2644</v>
      </c>
      <c r="I58">
        <v>35.33</v>
      </c>
    </row>
    <row r="59" spans="1:9" ht="12.75">
      <c r="A59">
        <v>45</v>
      </c>
      <c r="B59" t="s">
        <v>2645</v>
      </c>
      <c r="C59" t="s">
        <v>2807</v>
      </c>
      <c r="D59" t="s">
        <v>2780</v>
      </c>
      <c r="E59" t="s">
        <v>2781</v>
      </c>
      <c r="F59" t="str">
        <f>"16/354"</f>
        <v>16/354</v>
      </c>
      <c r="G59" t="s">
        <v>5065</v>
      </c>
      <c r="H59" t="s">
        <v>2646</v>
      </c>
      <c r="I59">
        <v>35.32</v>
      </c>
    </row>
    <row r="60" spans="1:9" ht="12.75">
      <c r="A60">
        <v>46</v>
      </c>
      <c r="B60" t="s">
        <v>2647</v>
      </c>
      <c r="C60" t="s">
        <v>2807</v>
      </c>
      <c r="D60" t="s">
        <v>2780</v>
      </c>
      <c r="E60" t="s">
        <v>2799</v>
      </c>
      <c r="F60" t="str">
        <f>"6/100"</f>
        <v>6/100</v>
      </c>
      <c r="G60" t="s">
        <v>2982</v>
      </c>
      <c r="H60" t="s">
        <v>2648</v>
      </c>
      <c r="I60">
        <v>35.2</v>
      </c>
    </row>
    <row r="61" spans="1:9" ht="12.75">
      <c r="A61">
        <v>47</v>
      </c>
      <c r="B61" t="s">
        <v>2649</v>
      </c>
      <c r="C61" t="s">
        <v>2865</v>
      </c>
      <c r="D61" t="s">
        <v>2780</v>
      </c>
      <c r="E61" t="s">
        <v>2818</v>
      </c>
      <c r="F61" t="str">
        <f>"3/380"</f>
        <v>3/380</v>
      </c>
      <c r="G61" t="s">
        <v>2854</v>
      </c>
      <c r="H61" t="s">
        <v>2650</v>
      </c>
      <c r="I61">
        <v>35.11</v>
      </c>
    </row>
    <row r="62" spans="1:9" ht="12.75">
      <c r="A62">
        <v>48</v>
      </c>
      <c r="B62" t="s">
        <v>939</v>
      </c>
      <c r="C62" t="s">
        <v>2807</v>
      </c>
      <c r="D62" t="s">
        <v>2780</v>
      </c>
      <c r="E62" t="s">
        <v>2823</v>
      </c>
      <c r="F62" t="str">
        <f>"8/668"</f>
        <v>8/668</v>
      </c>
      <c r="G62" t="s">
        <v>2243</v>
      </c>
      <c r="H62" t="s">
        <v>2651</v>
      </c>
      <c r="I62">
        <v>35.11</v>
      </c>
    </row>
    <row r="63" spans="1:9" ht="12.75">
      <c r="A63">
        <v>49</v>
      </c>
      <c r="B63" t="s">
        <v>2652</v>
      </c>
      <c r="C63" t="s">
        <v>4894</v>
      </c>
      <c r="D63" t="s">
        <v>2780</v>
      </c>
      <c r="E63" t="s">
        <v>2823</v>
      </c>
      <c r="F63" t="str">
        <f>"9/668"</f>
        <v>9/668</v>
      </c>
      <c r="G63" t="s">
        <v>3134</v>
      </c>
      <c r="H63" t="s">
        <v>2653</v>
      </c>
      <c r="I63">
        <v>35.11</v>
      </c>
    </row>
    <row r="64" spans="1:9" ht="12.75">
      <c r="A64">
        <v>50</v>
      </c>
      <c r="B64" t="s">
        <v>2867</v>
      </c>
      <c r="C64" t="s">
        <v>2931</v>
      </c>
      <c r="D64" t="s">
        <v>2780</v>
      </c>
      <c r="E64" t="s">
        <v>2823</v>
      </c>
      <c r="F64" t="str">
        <f>"10/668"</f>
        <v>10/668</v>
      </c>
      <c r="G64" t="s">
        <v>2654</v>
      </c>
      <c r="H64" t="s">
        <v>2655</v>
      </c>
      <c r="I64">
        <v>35.1</v>
      </c>
    </row>
    <row r="65" spans="1:9" ht="12.75">
      <c r="A65">
        <v>51</v>
      </c>
      <c r="B65" t="s">
        <v>2656</v>
      </c>
      <c r="C65" t="s">
        <v>1830</v>
      </c>
      <c r="D65" t="s">
        <v>2780</v>
      </c>
      <c r="E65" t="s">
        <v>2786</v>
      </c>
      <c r="F65" t="str">
        <f>"3/44"</f>
        <v>3/44</v>
      </c>
      <c r="G65" t="s">
        <v>3075</v>
      </c>
      <c r="H65" t="s">
        <v>2655</v>
      </c>
      <c r="I65">
        <v>35.1</v>
      </c>
    </row>
    <row r="66" spans="1:9" ht="12.75">
      <c r="A66">
        <v>52</v>
      </c>
      <c r="B66" t="s">
        <v>2657</v>
      </c>
      <c r="C66" t="s">
        <v>2966</v>
      </c>
      <c r="D66" t="s">
        <v>2780</v>
      </c>
      <c r="E66" t="s">
        <v>2781</v>
      </c>
      <c r="F66" t="str">
        <f>"17/354"</f>
        <v>17/354</v>
      </c>
      <c r="G66" t="s">
        <v>3011</v>
      </c>
      <c r="H66" t="s">
        <v>2658</v>
      </c>
      <c r="I66">
        <v>35.1</v>
      </c>
    </row>
    <row r="67" spans="1:9" ht="12.75">
      <c r="A67">
        <v>53</v>
      </c>
      <c r="B67" t="s">
        <v>3160</v>
      </c>
      <c r="C67" t="s">
        <v>2963</v>
      </c>
      <c r="D67" t="s">
        <v>2780</v>
      </c>
      <c r="E67" t="s">
        <v>2799</v>
      </c>
      <c r="F67" t="str">
        <f>"7/100"</f>
        <v>7/100</v>
      </c>
      <c r="G67" t="s">
        <v>59</v>
      </c>
      <c r="H67" t="s">
        <v>2659</v>
      </c>
      <c r="I67">
        <v>35.1</v>
      </c>
    </row>
    <row r="68" spans="1:9" ht="12.75">
      <c r="A68">
        <v>54</v>
      </c>
      <c r="B68" t="s">
        <v>2660</v>
      </c>
      <c r="C68" t="s">
        <v>3346</v>
      </c>
      <c r="D68" t="s">
        <v>2780</v>
      </c>
      <c r="E68" t="s">
        <v>2781</v>
      </c>
      <c r="F68" t="str">
        <f>"18/354"</f>
        <v>18/354</v>
      </c>
      <c r="G68" t="s">
        <v>2920</v>
      </c>
      <c r="H68" t="s">
        <v>2661</v>
      </c>
      <c r="I68">
        <v>35.1</v>
      </c>
    </row>
    <row r="69" spans="1:9" ht="12.75">
      <c r="A69">
        <v>55</v>
      </c>
      <c r="B69" t="s">
        <v>2662</v>
      </c>
      <c r="C69" t="s">
        <v>2216</v>
      </c>
      <c r="D69" t="s">
        <v>2780</v>
      </c>
      <c r="E69" t="s">
        <v>2799</v>
      </c>
      <c r="F69" t="str">
        <f>"8/100"</f>
        <v>8/100</v>
      </c>
      <c r="G69" t="s">
        <v>59</v>
      </c>
      <c r="H69" t="s">
        <v>2663</v>
      </c>
      <c r="I69">
        <v>35.1</v>
      </c>
    </row>
    <row r="70" spans="1:9" ht="12.75">
      <c r="A70">
        <v>56</v>
      </c>
      <c r="B70" t="s">
        <v>487</v>
      </c>
      <c r="C70" t="s">
        <v>2857</v>
      </c>
      <c r="D70" t="s">
        <v>2780</v>
      </c>
      <c r="E70" t="s">
        <v>2781</v>
      </c>
      <c r="F70" t="str">
        <f>"19/354"</f>
        <v>19/354</v>
      </c>
      <c r="G70" t="s">
        <v>3018</v>
      </c>
      <c r="H70" t="s">
        <v>2664</v>
      </c>
      <c r="I70">
        <v>35.1</v>
      </c>
    </row>
    <row r="71" spans="1:9" ht="12.75">
      <c r="A71">
        <v>57</v>
      </c>
      <c r="B71" t="s">
        <v>3065</v>
      </c>
      <c r="C71" t="s">
        <v>3141</v>
      </c>
      <c r="D71" t="s">
        <v>2780</v>
      </c>
      <c r="E71" t="s">
        <v>2823</v>
      </c>
      <c r="F71" t="str">
        <f>"11/668"</f>
        <v>11/668</v>
      </c>
      <c r="G71" t="s">
        <v>2889</v>
      </c>
      <c r="H71" t="s">
        <v>2665</v>
      </c>
      <c r="I71">
        <v>35.1</v>
      </c>
    </row>
    <row r="72" spans="1:9" ht="12.75">
      <c r="A72">
        <v>58</v>
      </c>
      <c r="B72" t="s">
        <v>2666</v>
      </c>
      <c r="C72" t="s">
        <v>3633</v>
      </c>
      <c r="D72" t="s">
        <v>2780</v>
      </c>
      <c r="E72" t="s">
        <v>2823</v>
      </c>
      <c r="F72" t="str">
        <f>"12/668"</f>
        <v>12/668</v>
      </c>
      <c r="G72" t="s">
        <v>59</v>
      </c>
      <c r="H72" t="s">
        <v>2667</v>
      </c>
      <c r="I72">
        <v>35.1</v>
      </c>
    </row>
    <row r="73" spans="1:9" ht="12.75">
      <c r="A73">
        <v>59</v>
      </c>
      <c r="B73" t="s">
        <v>2668</v>
      </c>
      <c r="C73" t="s">
        <v>5379</v>
      </c>
      <c r="D73" t="s">
        <v>2780</v>
      </c>
      <c r="E73" t="s">
        <v>2781</v>
      </c>
      <c r="F73" t="str">
        <f>"20/354"</f>
        <v>20/354</v>
      </c>
      <c r="G73" t="s">
        <v>1760</v>
      </c>
      <c r="H73" t="s">
        <v>2669</v>
      </c>
      <c r="I73">
        <v>35.1</v>
      </c>
    </row>
    <row r="74" spans="1:9" ht="12.75">
      <c r="A74">
        <v>60</v>
      </c>
      <c r="B74" t="s">
        <v>2670</v>
      </c>
      <c r="C74" t="s">
        <v>2807</v>
      </c>
      <c r="D74" t="s">
        <v>2780</v>
      </c>
      <c r="E74" t="s">
        <v>2823</v>
      </c>
      <c r="F74" t="str">
        <f>"13/668"</f>
        <v>13/668</v>
      </c>
      <c r="G74" t="s">
        <v>3060</v>
      </c>
      <c r="H74" t="s">
        <v>2671</v>
      </c>
      <c r="I74">
        <v>35.1</v>
      </c>
    </row>
    <row r="75" spans="1:9" ht="12.75">
      <c r="A75">
        <v>61</v>
      </c>
      <c r="B75" t="s">
        <v>1918</v>
      </c>
      <c r="C75" t="s">
        <v>2861</v>
      </c>
      <c r="D75" t="s">
        <v>2780</v>
      </c>
      <c r="E75" t="s">
        <v>2823</v>
      </c>
      <c r="F75" t="str">
        <f>"14/668"</f>
        <v>14/668</v>
      </c>
      <c r="G75" t="s">
        <v>3011</v>
      </c>
      <c r="H75" t="s">
        <v>2672</v>
      </c>
      <c r="I75">
        <v>35.1</v>
      </c>
    </row>
    <row r="76" spans="1:9" ht="12.75">
      <c r="A76">
        <v>62</v>
      </c>
      <c r="B76" t="s">
        <v>3024</v>
      </c>
      <c r="C76" t="s">
        <v>2991</v>
      </c>
      <c r="D76" t="s">
        <v>2780</v>
      </c>
      <c r="E76" t="s">
        <v>2781</v>
      </c>
      <c r="F76" t="str">
        <f>"21/354"</f>
        <v>21/354</v>
      </c>
      <c r="G76" t="s">
        <v>2889</v>
      </c>
      <c r="H76" t="s">
        <v>2673</v>
      </c>
      <c r="I76">
        <v>35.1</v>
      </c>
    </row>
    <row r="77" spans="1:9" ht="12.75">
      <c r="A77">
        <v>63</v>
      </c>
      <c r="B77" t="s">
        <v>2674</v>
      </c>
      <c r="C77" t="s">
        <v>2836</v>
      </c>
      <c r="D77" t="s">
        <v>2780</v>
      </c>
      <c r="E77" t="s">
        <v>2786</v>
      </c>
      <c r="F77" t="str">
        <f>"4/44"</f>
        <v>4/44</v>
      </c>
      <c r="G77" t="s">
        <v>3168</v>
      </c>
      <c r="H77" t="s">
        <v>2675</v>
      </c>
      <c r="I77">
        <v>35.1</v>
      </c>
    </row>
    <row r="78" spans="1:9" ht="12.75">
      <c r="A78">
        <v>64</v>
      </c>
      <c r="B78" t="s">
        <v>2676</v>
      </c>
      <c r="C78" t="s">
        <v>3286</v>
      </c>
      <c r="D78" t="s">
        <v>2780</v>
      </c>
      <c r="E78" t="s">
        <v>2823</v>
      </c>
      <c r="F78" t="str">
        <f>"15/668"</f>
        <v>15/668</v>
      </c>
      <c r="G78" t="s">
        <v>3261</v>
      </c>
      <c r="H78" t="s">
        <v>2677</v>
      </c>
      <c r="I78">
        <v>35.1</v>
      </c>
    </row>
    <row r="79" spans="1:9" ht="12.75">
      <c r="A79">
        <v>65</v>
      </c>
      <c r="B79" t="s">
        <v>2678</v>
      </c>
      <c r="C79" t="s">
        <v>3066</v>
      </c>
      <c r="D79" t="s">
        <v>2780</v>
      </c>
      <c r="E79" t="s">
        <v>2799</v>
      </c>
      <c r="F79" t="str">
        <f>"9/100"</f>
        <v>9/100</v>
      </c>
      <c r="G79" t="s">
        <v>2804</v>
      </c>
      <c r="H79" t="s">
        <v>2679</v>
      </c>
      <c r="I79">
        <v>35.09</v>
      </c>
    </row>
    <row r="80" spans="1:9" ht="12.75">
      <c r="A80">
        <v>66</v>
      </c>
      <c r="B80" t="s">
        <v>2680</v>
      </c>
      <c r="C80" t="s">
        <v>1201</v>
      </c>
      <c r="D80" t="s">
        <v>3031</v>
      </c>
      <c r="E80" t="s">
        <v>3032</v>
      </c>
      <c r="F80" t="str">
        <f>"1/25"</f>
        <v>1/25</v>
      </c>
      <c r="G80" t="s">
        <v>2982</v>
      </c>
      <c r="H80" t="s">
        <v>2681</v>
      </c>
      <c r="I80">
        <v>35.09</v>
      </c>
    </row>
    <row r="81" spans="1:9" ht="12.75">
      <c r="A81">
        <v>67</v>
      </c>
      <c r="B81" t="s">
        <v>2682</v>
      </c>
      <c r="C81" t="s">
        <v>2785</v>
      </c>
      <c r="D81" t="s">
        <v>2780</v>
      </c>
      <c r="E81" t="s">
        <v>2823</v>
      </c>
      <c r="F81" t="str">
        <f>"16/668"</f>
        <v>16/668</v>
      </c>
      <c r="G81" t="s">
        <v>3603</v>
      </c>
      <c r="H81" t="s">
        <v>2683</v>
      </c>
      <c r="I81">
        <v>35.09</v>
      </c>
    </row>
    <row r="82" spans="1:9" ht="12.75">
      <c r="A82">
        <v>68</v>
      </c>
      <c r="B82" t="s">
        <v>654</v>
      </c>
      <c r="C82" t="s">
        <v>3560</v>
      </c>
      <c r="D82" t="s">
        <v>2780</v>
      </c>
      <c r="E82" t="s">
        <v>2823</v>
      </c>
      <c r="F82" t="str">
        <f>"17/668"</f>
        <v>17/668</v>
      </c>
      <c r="G82" t="s">
        <v>2684</v>
      </c>
      <c r="H82" t="s">
        <v>2685</v>
      </c>
      <c r="I82">
        <v>35.09</v>
      </c>
    </row>
    <row r="83" spans="1:9" ht="12.75">
      <c r="A83">
        <v>69</v>
      </c>
      <c r="B83" t="s">
        <v>2686</v>
      </c>
      <c r="C83" t="s">
        <v>504</v>
      </c>
      <c r="D83" t="s">
        <v>2780</v>
      </c>
      <c r="E83" t="s">
        <v>2786</v>
      </c>
      <c r="F83" t="str">
        <f>"5/44"</f>
        <v>5/44</v>
      </c>
      <c r="G83" t="s">
        <v>2687</v>
      </c>
      <c r="H83" t="s">
        <v>2688</v>
      </c>
      <c r="I83">
        <v>35.09</v>
      </c>
    </row>
    <row r="84" spans="1:9" ht="12.75">
      <c r="A84">
        <v>70</v>
      </c>
      <c r="B84" t="s">
        <v>2689</v>
      </c>
      <c r="C84" t="s">
        <v>868</v>
      </c>
      <c r="D84" t="s">
        <v>2780</v>
      </c>
      <c r="E84" t="s">
        <v>2818</v>
      </c>
      <c r="F84" t="str">
        <f>"4/380"</f>
        <v>4/380</v>
      </c>
      <c r="G84" t="s">
        <v>3277</v>
      </c>
      <c r="H84" t="s">
        <v>2690</v>
      </c>
      <c r="I84">
        <v>35.09</v>
      </c>
    </row>
    <row r="85" spans="1:9" ht="12.75">
      <c r="A85">
        <v>71</v>
      </c>
      <c r="B85" t="s">
        <v>2691</v>
      </c>
      <c r="C85" t="s">
        <v>5149</v>
      </c>
      <c r="D85" t="s">
        <v>2780</v>
      </c>
      <c r="E85" t="s">
        <v>2823</v>
      </c>
      <c r="F85" t="str">
        <f>"18/668"</f>
        <v>18/668</v>
      </c>
      <c r="G85" t="s">
        <v>2982</v>
      </c>
      <c r="H85" t="s">
        <v>2692</v>
      </c>
      <c r="I85">
        <v>35.09</v>
      </c>
    </row>
    <row r="86" spans="1:9" ht="12.75">
      <c r="A86">
        <v>72</v>
      </c>
      <c r="B86" t="s">
        <v>1159</v>
      </c>
      <c r="C86" t="s">
        <v>54</v>
      </c>
      <c r="D86" t="s">
        <v>2780</v>
      </c>
      <c r="E86" t="s">
        <v>2781</v>
      </c>
      <c r="F86" t="str">
        <f>"22/354"</f>
        <v>22/354</v>
      </c>
      <c r="G86" t="s">
        <v>2693</v>
      </c>
      <c r="H86" t="s">
        <v>2694</v>
      </c>
      <c r="I86">
        <v>35.09</v>
      </c>
    </row>
    <row r="87" spans="1:9" ht="12.75">
      <c r="A87">
        <v>73</v>
      </c>
      <c r="B87" t="s">
        <v>1196</v>
      </c>
      <c r="C87" t="s">
        <v>3205</v>
      </c>
      <c r="D87" t="s">
        <v>2780</v>
      </c>
      <c r="E87" t="s">
        <v>2823</v>
      </c>
      <c r="F87" t="str">
        <f>"19/668"</f>
        <v>19/668</v>
      </c>
      <c r="G87" t="s">
        <v>942</v>
      </c>
      <c r="H87" t="s">
        <v>2695</v>
      </c>
      <c r="I87">
        <v>35.09</v>
      </c>
    </row>
    <row r="88" spans="1:9" ht="12.75">
      <c r="A88">
        <v>74</v>
      </c>
      <c r="B88" t="s">
        <v>2696</v>
      </c>
      <c r="C88" t="s">
        <v>2857</v>
      </c>
      <c r="D88" t="s">
        <v>2780</v>
      </c>
      <c r="E88" t="s">
        <v>2823</v>
      </c>
      <c r="F88" t="str">
        <f>"20/668"</f>
        <v>20/668</v>
      </c>
      <c r="G88" t="s">
        <v>2982</v>
      </c>
      <c r="H88" t="s">
        <v>2697</v>
      </c>
      <c r="I88">
        <v>35.09</v>
      </c>
    </row>
    <row r="89" spans="1:9" ht="12.75">
      <c r="A89">
        <v>75</v>
      </c>
      <c r="B89" t="s">
        <v>2698</v>
      </c>
      <c r="C89" t="s">
        <v>2836</v>
      </c>
      <c r="D89" t="s">
        <v>2780</v>
      </c>
      <c r="E89" t="s">
        <v>2823</v>
      </c>
      <c r="F89" t="str">
        <f>"21/668"</f>
        <v>21/668</v>
      </c>
      <c r="G89" t="s">
        <v>2699</v>
      </c>
      <c r="H89" t="s">
        <v>2700</v>
      </c>
      <c r="I89">
        <v>35.08</v>
      </c>
    </row>
    <row r="90" spans="1:9" ht="12.75">
      <c r="A90">
        <v>76</v>
      </c>
      <c r="B90" t="s">
        <v>286</v>
      </c>
      <c r="C90" t="s">
        <v>2861</v>
      </c>
      <c r="D90" t="s">
        <v>2780</v>
      </c>
      <c r="E90" t="s">
        <v>2823</v>
      </c>
      <c r="F90" t="str">
        <f>"22/668"</f>
        <v>22/668</v>
      </c>
      <c r="G90" t="s">
        <v>2982</v>
      </c>
      <c r="H90" t="s">
        <v>2701</v>
      </c>
      <c r="I90">
        <v>35.08</v>
      </c>
    </row>
    <row r="91" spans="1:9" ht="12.75">
      <c r="A91">
        <v>77</v>
      </c>
      <c r="B91" t="s">
        <v>2702</v>
      </c>
      <c r="C91" t="s">
        <v>2814</v>
      </c>
      <c r="D91" t="s">
        <v>2780</v>
      </c>
      <c r="E91" t="s">
        <v>2823</v>
      </c>
      <c r="F91" t="str">
        <f>"23/668"</f>
        <v>23/668</v>
      </c>
      <c r="G91" t="s">
        <v>3338</v>
      </c>
      <c r="H91" t="s">
        <v>2703</v>
      </c>
      <c r="I91">
        <v>35.08</v>
      </c>
    </row>
    <row r="92" spans="1:9" ht="12.75">
      <c r="A92">
        <v>78</v>
      </c>
      <c r="B92" t="s">
        <v>3204</v>
      </c>
      <c r="C92" t="s">
        <v>1633</v>
      </c>
      <c r="D92" t="s">
        <v>3031</v>
      </c>
      <c r="E92" t="s">
        <v>3244</v>
      </c>
      <c r="F92" t="str">
        <f>"1/40"</f>
        <v>1/40</v>
      </c>
      <c r="G92" t="s">
        <v>3338</v>
      </c>
      <c r="H92" t="s">
        <v>2704</v>
      </c>
      <c r="I92">
        <v>35.08</v>
      </c>
    </row>
    <row r="93" spans="1:9" ht="12.75">
      <c r="A93">
        <v>79</v>
      </c>
      <c r="B93" t="s">
        <v>2705</v>
      </c>
      <c r="C93" t="s">
        <v>2807</v>
      </c>
      <c r="D93" t="s">
        <v>2780</v>
      </c>
      <c r="E93" t="s">
        <v>2781</v>
      </c>
      <c r="F93" t="str">
        <f>"23/354"</f>
        <v>23/354</v>
      </c>
      <c r="G93" t="s">
        <v>3338</v>
      </c>
      <c r="H93" t="s">
        <v>2706</v>
      </c>
      <c r="I93">
        <v>35.08</v>
      </c>
    </row>
    <row r="94" spans="1:9" ht="12.75">
      <c r="A94">
        <v>80</v>
      </c>
      <c r="B94" t="s">
        <v>2707</v>
      </c>
      <c r="C94" t="s">
        <v>2840</v>
      </c>
      <c r="D94" t="s">
        <v>2780</v>
      </c>
      <c r="E94" t="s">
        <v>2781</v>
      </c>
      <c r="F94" t="str">
        <f>"24/354"</f>
        <v>24/354</v>
      </c>
      <c r="G94" t="s">
        <v>3165</v>
      </c>
      <c r="H94" t="s">
        <v>2708</v>
      </c>
      <c r="I94">
        <v>35.08</v>
      </c>
    </row>
    <row r="95" spans="1:9" ht="12.75">
      <c r="A95">
        <v>81</v>
      </c>
      <c r="B95" t="s">
        <v>1698</v>
      </c>
      <c r="C95" t="s">
        <v>3421</v>
      </c>
      <c r="D95" t="s">
        <v>2780</v>
      </c>
      <c r="E95" t="s">
        <v>2781</v>
      </c>
      <c r="F95" t="str">
        <f>"25/354"</f>
        <v>25/354</v>
      </c>
      <c r="G95" t="s">
        <v>2854</v>
      </c>
      <c r="H95" t="s">
        <v>2709</v>
      </c>
      <c r="I95">
        <v>35.08</v>
      </c>
    </row>
    <row r="96" spans="1:9" ht="12.75">
      <c r="A96">
        <v>82</v>
      </c>
      <c r="B96" t="s">
        <v>2710</v>
      </c>
      <c r="C96" t="s">
        <v>2836</v>
      </c>
      <c r="D96" t="s">
        <v>2780</v>
      </c>
      <c r="E96" t="s">
        <v>2799</v>
      </c>
      <c r="F96" t="str">
        <f>"10/100"</f>
        <v>10/100</v>
      </c>
      <c r="G96" t="s">
        <v>2564</v>
      </c>
      <c r="H96" t="s">
        <v>2711</v>
      </c>
      <c r="I96">
        <v>35.07</v>
      </c>
    </row>
    <row r="97" spans="1:9" ht="12.75">
      <c r="A97">
        <v>83</v>
      </c>
      <c r="B97" t="s">
        <v>2712</v>
      </c>
      <c r="C97" t="s">
        <v>2868</v>
      </c>
      <c r="D97" t="s">
        <v>2780</v>
      </c>
      <c r="E97" t="s">
        <v>2818</v>
      </c>
      <c r="F97" t="str">
        <f>"5/380"</f>
        <v>5/380</v>
      </c>
      <c r="G97" t="s">
        <v>2982</v>
      </c>
      <c r="H97" t="s">
        <v>2713</v>
      </c>
      <c r="I97">
        <v>35.07</v>
      </c>
    </row>
    <row r="98" spans="1:9" ht="12.75">
      <c r="A98">
        <v>84</v>
      </c>
      <c r="B98" t="s">
        <v>2714</v>
      </c>
      <c r="C98" t="s">
        <v>5402</v>
      </c>
      <c r="D98" t="s">
        <v>2780</v>
      </c>
      <c r="E98" t="s">
        <v>2818</v>
      </c>
      <c r="F98" t="str">
        <f>"6/380"</f>
        <v>6/380</v>
      </c>
      <c r="G98" t="s">
        <v>2715</v>
      </c>
      <c r="H98" t="s">
        <v>2716</v>
      </c>
      <c r="I98">
        <v>34.99</v>
      </c>
    </row>
    <row r="99" spans="1:9" ht="12.75">
      <c r="A99">
        <v>85</v>
      </c>
      <c r="B99" t="s">
        <v>2717</v>
      </c>
      <c r="C99" t="s">
        <v>2718</v>
      </c>
      <c r="D99" t="s">
        <v>2780</v>
      </c>
      <c r="E99" t="s">
        <v>2823</v>
      </c>
      <c r="F99" t="str">
        <f>"24/668"</f>
        <v>24/668</v>
      </c>
      <c r="G99" t="s">
        <v>3220</v>
      </c>
      <c r="H99" t="s">
        <v>2719</v>
      </c>
      <c r="I99">
        <v>34.98</v>
      </c>
    </row>
    <row r="100" spans="1:9" ht="12.75">
      <c r="A100">
        <v>86</v>
      </c>
      <c r="B100" t="s">
        <v>2720</v>
      </c>
      <c r="C100" t="s">
        <v>2840</v>
      </c>
      <c r="D100" t="s">
        <v>2780</v>
      </c>
      <c r="E100" t="s">
        <v>2781</v>
      </c>
      <c r="F100" t="str">
        <f>"26/354"</f>
        <v>26/354</v>
      </c>
      <c r="G100" t="s">
        <v>3134</v>
      </c>
      <c r="H100" t="s">
        <v>2721</v>
      </c>
      <c r="I100">
        <v>34.96</v>
      </c>
    </row>
    <row r="101" spans="1:9" ht="12.75">
      <c r="A101">
        <v>87</v>
      </c>
      <c r="B101" t="s">
        <v>2722</v>
      </c>
      <c r="C101" t="s">
        <v>2868</v>
      </c>
      <c r="D101" t="s">
        <v>2780</v>
      </c>
      <c r="E101" t="s">
        <v>2786</v>
      </c>
      <c r="F101" t="str">
        <f>"6/44"</f>
        <v>6/44</v>
      </c>
      <c r="G101" t="s">
        <v>59</v>
      </c>
      <c r="H101" t="s">
        <v>2723</v>
      </c>
      <c r="I101">
        <v>34.8</v>
      </c>
    </row>
    <row r="102" spans="1:9" ht="12.75">
      <c r="A102">
        <v>88</v>
      </c>
      <c r="B102" t="s">
        <v>2724</v>
      </c>
      <c r="C102" t="s">
        <v>39</v>
      </c>
      <c r="D102" t="s">
        <v>2780</v>
      </c>
      <c r="E102" t="s">
        <v>2781</v>
      </c>
      <c r="F102" t="str">
        <f>"27/354"</f>
        <v>27/354</v>
      </c>
      <c r="G102" t="s">
        <v>2725</v>
      </c>
      <c r="H102" t="s">
        <v>2726</v>
      </c>
      <c r="I102">
        <v>34.75</v>
      </c>
    </row>
    <row r="103" spans="1:9" ht="12.75">
      <c r="A103">
        <v>89</v>
      </c>
      <c r="B103" t="s">
        <v>2727</v>
      </c>
      <c r="C103" t="s">
        <v>504</v>
      </c>
      <c r="D103" t="s">
        <v>2780</v>
      </c>
      <c r="E103" t="s">
        <v>2823</v>
      </c>
      <c r="F103" t="str">
        <f>"25/668"</f>
        <v>25/668</v>
      </c>
      <c r="G103" t="s">
        <v>2851</v>
      </c>
      <c r="H103" t="s">
        <v>2728</v>
      </c>
      <c r="I103">
        <v>34.44</v>
      </c>
    </row>
    <row r="104" spans="1:9" ht="12.75">
      <c r="A104">
        <v>90</v>
      </c>
      <c r="B104" t="s">
        <v>2729</v>
      </c>
      <c r="C104" t="s">
        <v>2730</v>
      </c>
      <c r="D104" t="s">
        <v>2780</v>
      </c>
      <c r="E104" t="s">
        <v>2781</v>
      </c>
      <c r="F104" t="str">
        <f>"28/354"</f>
        <v>28/354</v>
      </c>
      <c r="G104" t="s">
        <v>2731</v>
      </c>
      <c r="H104" t="s">
        <v>2732</v>
      </c>
      <c r="I104">
        <v>34.37</v>
      </c>
    </row>
    <row r="105" spans="1:9" ht="12.75">
      <c r="A105">
        <v>91</v>
      </c>
      <c r="B105" t="s">
        <v>2733</v>
      </c>
      <c r="C105" t="s">
        <v>3464</v>
      </c>
      <c r="D105" t="s">
        <v>2780</v>
      </c>
      <c r="E105" t="s">
        <v>2799</v>
      </c>
      <c r="F105" t="str">
        <f>"11/100"</f>
        <v>11/100</v>
      </c>
      <c r="G105" t="s">
        <v>3516</v>
      </c>
      <c r="H105" t="s">
        <v>2734</v>
      </c>
      <c r="I105">
        <v>34.35</v>
      </c>
    </row>
    <row r="106" spans="1:9" ht="12.75">
      <c r="A106">
        <v>92</v>
      </c>
      <c r="B106" t="s">
        <v>2735</v>
      </c>
      <c r="C106" t="s">
        <v>2807</v>
      </c>
      <c r="D106" t="s">
        <v>2780</v>
      </c>
      <c r="E106" t="s">
        <v>2781</v>
      </c>
      <c r="F106" t="str">
        <f>"29/354"</f>
        <v>29/354</v>
      </c>
      <c r="G106" t="s">
        <v>2736</v>
      </c>
      <c r="H106" t="s">
        <v>2737</v>
      </c>
      <c r="I106">
        <v>34.33</v>
      </c>
    </row>
    <row r="107" spans="1:9" ht="12.75">
      <c r="A107">
        <v>93</v>
      </c>
      <c r="B107" t="s">
        <v>2738</v>
      </c>
      <c r="C107" t="s">
        <v>3114</v>
      </c>
      <c r="D107" t="s">
        <v>2780</v>
      </c>
      <c r="E107" t="s">
        <v>2786</v>
      </c>
      <c r="F107" t="str">
        <f>"7/44"</f>
        <v>7/44</v>
      </c>
      <c r="G107" t="s">
        <v>2739</v>
      </c>
      <c r="H107" t="s">
        <v>2740</v>
      </c>
      <c r="I107">
        <v>34.32</v>
      </c>
    </row>
    <row r="108" spans="1:9" ht="12.75">
      <c r="A108">
        <v>94</v>
      </c>
      <c r="B108" t="s">
        <v>2741</v>
      </c>
      <c r="C108" t="s">
        <v>2742</v>
      </c>
      <c r="D108" t="s">
        <v>2780</v>
      </c>
      <c r="E108" t="s">
        <v>2781</v>
      </c>
      <c r="F108" t="str">
        <f>"30/354"</f>
        <v>30/354</v>
      </c>
      <c r="G108" t="s">
        <v>2896</v>
      </c>
      <c r="H108" t="s">
        <v>2743</v>
      </c>
      <c r="I108">
        <v>34.31</v>
      </c>
    </row>
    <row r="109" spans="1:9" ht="12.75">
      <c r="A109">
        <v>95</v>
      </c>
      <c r="B109" t="s">
        <v>2744</v>
      </c>
      <c r="C109" t="s">
        <v>2836</v>
      </c>
      <c r="D109" t="s">
        <v>2780</v>
      </c>
      <c r="E109" t="s">
        <v>2818</v>
      </c>
      <c r="F109" t="str">
        <f>"7/380"</f>
        <v>7/380</v>
      </c>
      <c r="G109" t="s">
        <v>2920</v>
      </c>
      <c r="H109" t="s">
        <v>2745</v>
      </c>
      <c r="I109">
        <v>34.29</v>
      </c>
    </row>
    <row r="110" spans="1:9" ht="12.75">
      <c r="A110">
        <v>96</v>
      </c>
      <c r="B110" t="s">
        <v>2746</v>
      </c>
      <c r="C110" t="s">
        <v>2963</v>
      </c>
      <c r="D110" t="s">
        <v>2780</v>
      </c>
      <c r="E110" t="s">
        <v>2823</v>
      </c>
      <c r="F110" t="str">
        <f>"26/668"</f>
        <v>26/668</v>
      </c>
      <c r="G110" t="s">
        <v>2607</v>
      </c>
      <c r="H110" t="s">
        <v>2747</v>
      </c>
      <c r="I110">
        <v>34.28</v>
      </c>
    </row>
    <row r="111" spans="1:9" ht="12.75">
      <c r="A111">
        <v>97</v>
      </c>
      <c r="B111" t="s">
        <v>2748</v>
      </c>
      <c r="C111" t="s">
        <v>3114</v>
      </c>
      <c r="D111" t="s">
        <v>2780</v>
      </c>
      <c r="E111" t="s">
        <v>2781</v>
      </c>
      <c r="F111" t="str">
        <f>"31/354"</f>
        <v>31/354</v>
      </c>
      <c r="G111" t="s">
        <v>3046</v>
      </c>
      <c r="H111" t="s">
        <v>2749</v>
      </c>
      <c r="I111">
        <v>34.22</v>
      </c>
    </row>
    <row r="112" spans="1:9" ht="12.75">
      <c r="A112">
        <v>98</v>
      </c>
      <c r="B112" t="s">
        <v>2750</v>
      </c>
      <c r="C112" t="s">
        <v>3141</v>
      </c>
      <c r="D112" t="s">
        <v>2780</v>
      </c>
      <c r="E112" t="s">
        <v>2799</v>
      </c>
      <c r="F112" t="str">
        <f>"12/100"</f>
        <v>12/100</v>
      </c>
      <c r="G112" t="s">
        <v>2920</v>
      </c>
      <c r="H112" t="s">
        <v>2751</v>
      </c>
      <c r="I112">
        <v>34.19</v>
      </c>
    </row>
    <row r="113" spans="1:9" ht="12.75">
      <c r="A113">
        <v>99</v>
      </c>
      <c r="B113" t="s">
        <v>5677</v>
      </c>
      <c r="C113" t="s">
        <v>3123</v>
      </c>
      <c r="D113" t="s">
        <v>2780</v>
      </c>
      <c r="E113" t="s">
        <v>2799</v>
      </c>
      <c r="F113" t="str">
        <f>"13/100"</f>
        <v>13/100</v>
      </c>
      <c r="G113" t="s">
        <v>2752</v>
      </c>
      <c r="H113" t="s">
        <v>2753</v>
      </c>
      <c r="I113">
        <v>34.19</v>
      </c>
    </row>
    <row r="114" spans="1:9" ht="12.75">
      <c r="A114">
        <v>100</v>
      </c>
      <c r="B114" t="s">
        <v>2754</v>
      </c>
      <c r="C114" t="s">
        <v>3471</v>
      </c>
      <c r="D114" t="s">
        <v>2780</v>
      </c>
      <c r="E114" t="s">
        <v>2818</v>
      </c>
      <c r="F114" t="str">
        <f>"8/380"</f>
        <v>8/380</v>
      </c>
      <c r="G114" t="s">
        <v>2755</v>
      </c>
      <c r="H114" t="s">
        <v>2756</v>
      </c>
      <c r="I114">
        <v>34.17</v>
      </c>
    </row>
    <row r="115" spans="1:9" ht="12.75">
      <c r="A115">
        <v>101</v>
      </c>
      <c r="B115" t="s">
        <v>2757</v>
      </c>
      <c r="C115" t="s">
        <v>3464</v>
      </c>
      <c r="D115" t="s">
        <v>2780</v>
      </c>
      <c r="E115" t="s">
        <v>2786</v>
      </c>
      <c r="F115" t="str">
        <f>"8/44"</f>
        <v>8/44</v>
      </c>
      <c r="G115" t="s">
        <v>3465</v>
      </c>
      <c r="H115" t="s">
        <v>2758</v>
      </c>
      <c r="I115">
        <v>34.15</v>
      </c>
    </row>
    <row r="116" spans="1:9" ht="12.75">
      <c r="A116">
        <v>102</v>
      </c>
      <c r="B116" t="s">
        <v>2759</v>
      </c>
      <c r="C116" t="s">
        <v>3057</v>
      </c>
      <c r="D116" t="s">
        <v>2780</v>
      </c>
      <c r="E116" t="s">
        <v>2781</v>
      </c>
      <c r="F116" t="str">
        <f>"32/354"</f>
        <v>32/354</v>
      </c>
      <c r="G116" t="s">
        <v>3363</v>
      </c>
      <c r="H116" t="s">
        <v>2760</v>
      </c>
      <c r="I116">
        <v>34.14</v>
      </c>
    </row>
    <row r="117" spans="1:9" ht="12.75">
      <c r="A117">
        <v>103</v>
      </c>
      <c r="B117" t="s">
        <v>2761</v>
      </c>
      <c r="C117" t="s">
        <v>2807</v>
      </c>
      <c r="D117" t="s">
        <v>2780</v>
      </c>
      <c r="E117" t="s">
        <v>2823</v>
      </c>
      <c r="F117" t="str">
        <f>"27/668"</f>
        <v>27/668</v>
      </c>
      <c r="G117" t="s">
        <v>2762</v>
      </c>
      <c r="H117" t="s">
        <v>2763</v>
      </c>
      <c r="I117">
        <v>34.14</v>
      </c>
    </row>
    <row r="118" spans="1:9" ht="12.75">
      <c r="A118">
        <v>104</v>
      </c>
      <c r="B118" t="s">
        <v>2764</v>
      </c>
      <c r="C118" t="s">
        <v>692</v>
      </c>
      <c r="D118" t="s">
        <v>2780</v>
      </c>
      <c r="E118" t="s">
        <v>2781</v>
      </c>
      <c r="F118" t="str">
        <f>"33/354"</f>
        <v>33/354</v>
      </c>
      <c r="G118" t="s">
        <v>2896</v>
      </c>
      <c r="H118" t="s">
        <v>2765</v>
      </c>
      <c r="I118">
        <v>34.14</v>
      </c>
    </row>
    <row r="119" spans="1:9" ht="12.75">
      <c r="A119">
        <v>105</v>
      </c>
      <c r="B119" t="s">
        <v>2766</v>
      </c>
      <c r="C119" t="s">
        <v>5371</v>
      </c>
      <c r="D119" t="s">
        <v>2780</v>
      </c>
      <c r="E119" t="s">
        <v>2823</v>
      </c>
      <c r="F119" t="str">
        <f>"28/668"</f>
        <v>28/668</v>
      </c>
      <c r="G119" t="s">
        <v>59</v>
      </c>
      <c r="H119" t="s">
        <v>2767</v>
      </c>
      <c r="I119">
        <v>34.13</v>
      </c>
    </row>
    <row r="120" spans="1:9" ht="12.75">
      <c r="A120">
        <v>106</v>
      </c>
      <c r="B120" t="s">
        <v>2768</v>
      </c>
      <c r="C120" t="s">
        <v>2951</v>
      </c>
      <c r="D120" t="s">
        <v>2780</v>
      </c>
      <c r="E120" t="s">
        <v>2781</v>
      </c>
      <c r="F120" t="str">
        <f>"34/354"</f>
        <v>34/354</v>
      </c>
      <c r="G120" t="s">
        <v>2892</v>
      </c>
      <c r="H120" t="s">
        <v>6991</v>
      </c>
      <c r="I120">
        <v>34.11</v>
      </c>
    </row>
    <row r="121" spans="1:9" ht="12.75">
      <c r="A121">
        <v>107</v>
      </c>
      <c r="B121" t="s">
        <v>6992</v>
      </c>
      <c r="C121" t="s">
        <v>2942</v>
      </c>
      <c r="D121" t="s">
        <v>2780</v>
      </c>
      <c r="E121" t="s">
        <v>2823</v>
      </c>
      <c r="F121" t="str">
        <f>"29/668"</f>
        <v>29/668</v>
      </c>
      <c r="G121" t="s">
        <v>336</v>
      </c>
      <c r="H121" t="s">
        <v>6993</v>
      </c>
      <c r="I121">
        <v>34.11</v>
      </c>
    </row>
    <row r="122" spans="1:9" ht="12.75">
      <c r="A122">
        <v>108</v>
      </c>
      <c r="B122" t="s">
        <v>6994</v>
      </c>
      <c r="C122" t="s">
        <v>2807</v>
      </c>
      <c r="D122" t="s">
        <v>2780</v>
      </c>
      <c r="E122" t="s">
        <v>2799</v>
      </c>
      <c r="F122" t="str">
        <f>"14/100"</f>
        <v>14/100</v>
      </c>
      <c r="G122" t="s">
        <v>3277</v>
      </c>
      <c r="H122" t="s">
        <v>6995</v>
      </c>
      <c r="I122">
        <v>34.1</v>
      </c>
    </row>
    <row r="123" spans="1:9" ht="12.75">
      <c r="A123">
        <v>109</v>
      </c>
      <c r="B123" t="s">
        <v>6996</v>
      </c>
      <c r="C123" t="s">
        <v>2916</v>
      </c>
      <c r="D123" t="s">
        <v>2780</v>
      </c>
      <c r="E123" t="s">
        <v>2823</v>
      </c>
      <c r="F123" t="str">
        <f>"30/668"</f>
        <v>30/668</v>
      </c>
      <c r="G123" t="s">
        <v>496</v>
      </c>
      <c r="H123" t="s">
        <v>6997</v>
      </c>
      <c r="I123">
        <v>34.09</v>
      </c>
    </row>
    <row r="124" spans="1:9" ht="12.75">
      <c r="A124">
        <v>110</v>
      </c>
      <c r="B124" t="s">
        <v>6998</v>
      </c>
      <c r="C124" t="s">
        <v>265</v>
      </c>
      <c r="D124" t="s">
        <v>2780</v>
      </c>
      <c r="E124" t="s">
        <v>2818</v>
      </c>
      <c r="F124" t="str">
        <f>"9/380"</f>
        <v>9/380</v>
      </c>
      <c r="G124" t="s">
        <v>5065</v>
      </c>
      <c r="H124" t="s">
        <v>6999</v>
      </c>
      <c r="I124">
        <v>34.09</v>
      </c>
    </row>
    <row r="125" spans="1:9" ht="12.75">
      <c r="A125">
        <v>111</v>
      </c>
      <c r="B125" t="s">
        <v>6994</v>
      </c>
      <c r="C125" t="s">
        <v>2810</v>
      </c>
      <c r="D125" t="s">
        <v>2780</v>
      </c>
      <c r="E125" t="s">
        <v>2823</v>
      </c>
      <c r="F125" t="str">
        <f>"31/668"</f>
        <v>31/668</v>
      </c>
      <c r="G125" t="s">
        <v>7000</v>
      </c>
      <c r="H125" t="s">
        <v>7001</v>
      </c>
      <c r="I125">
        <v>34.07</v>
      </c>
    </row>
    <row r="126" spans="1:9" ht="12.75">
      <c r="A126">
        <v>112</v>
      </c>
      <c r="B126" t="s">
        <v>7002</v>
      </c>
      <c r="C126" t="s">
        <v>2914</v>
      </c>
      <c r="D126" t="s">
        <v>2780</v>
      </c>
      <c r="E126" t="s">
        <v>2781</v>
      </c>
      <c r="F126" t="str">
        <f>"35/354"</f>
        <v>35/354</v>
      </c>
      <c r="G126" t="s">
        <v>2920</v>
      </c>
      <c r="H126" t="s">
        <v>7003</v>
      </c>
      <c r="I126">
        <v>34.07</v>
      </c>
    </row>
    <row r="127" spans="1:9" ht="12.75">
      <c r="A127">
        <v>113</v>
      </c>
      <c r="B127" t="s">
        <v>3378</v>
      </c>
      <c r="C127" t="s">
        <v>2861</v>
      </c>
      <c r="D127" t="s">
        <v>2780</v>
      </c>
      <c r="E127" t="s">
        <v>2781</v>
      </c>
      <c r="F127" t="str">
        <f>"36/354"</f>
        <v>36/354</v>
      </c>
      <c r="G127" t="s">
        <v>3289</v>
      </c>
      <c r="H127" t="s">
        <v>2343</v>
      </c>
      <c r="I127">
        <v>34.04</v>
      </c>
    </row>
    <row r="128" spans="1:9" ht="12.75">
      <c r="A128">
        <v>114</v>
      </c>
      <c r="B128" t="s">
        <v>7004</v>
      </c>
      <c r="C128" t="s">
        <v>2895</v>
      </c>
      <c r="D128" t="s">
        <v>2780</v>
      </c>
      <c r="E128" t="s">
        <v>2818</v>
      </c>
      <c r="F128" t="str">
        <f>"10/380"</f>
        <v>10/380</v>
      </c>
      <c r="G128" t="s">
        <v>2800</v>
      </c>
      <c r="H128" t="s">
        <v>7005</v>
      </c>
      <c r="I128">
        <v>33.87</v>
      </c>
    </row>
    <row r="129" spans="1:9" ht="12.75">
      <c r="A129">
        <v>115</v>
      </c>
      <c r="B129" t="s">
        <v>7006</v>
      </c>
      <c r="C129" t="s">
        <v>2861</v>
      </c>
      <c r="D129" t="s">
        <v>2780</v>
      </c>
      <c r="E129" t="s">
        <v>2823</v>
      </c>
      <c r="F129" t="str">
        <f>"32/668"</f>
        <v>32/668</v>
      </c>
      <c r="G129" t="s">
        <v>2693</v>
      </c>
      <c r="H129" t="s">
        <v>7007</v>
      </c>
      <c r="I129">
        <v>33.87</v>
      </c>
    </row>
    <row r="130" spans="1:9" ht="12.75">
      <c r="A130">
        <v>116</v>
      </c>
      <c r="B130" t="s">
        <v>7008</v>
      </c>
      <c r="C130" t="s">
        <v>2840</v>
      </c>
      <c r="D130" t="s">
        <v>2780</v>
      </c>
      <c r="E130" t="s">
        <v>2823</v>
      </c>
      <c r="F130" t="str">
        <f>"33/668"</f>
        <v>33/668</v>
      </c>
      <c r="G130" t="s">
        <v>4882</v>
      </c>
      <c r="H130" t="s">
        <v>7009</v>
      </c>
      <c r="I130">
        <v>33.87</v>
      </c>
    </row>
    <row r="131" spans="1:9" ht="12.75">
      <c r="A131">
        <v>117</v>
      </c>
      <c r="B131" t="s">
        <v>7010</v>
      </c>
      <c r="C131" t="s">
        <v>3346</v>
      </c>
      <c r="D131" t="s">
        <v>2780</v>
      </c>
      <c r="E131" t="s">
        <v>2781</v>
      </c>
      <c r="F131" t="str">
        <f>"37/354"</f>
        <v>37/354</v>
      </c>
      <c r="G131" t="s">
        <v>7011</v>
      </c>
      <c r="H131" t="s">
        <v>7012</v>
      </c>
      <c r="I131">
        <v>33.87</v>
      </c>
    </row>
    <row r="132" spans="1:9" ht="12.75">
      <c r="A132">
        <v>118</v>
      </c>
      <c r="B132" t="s">
        <v>7013</v>
      </c>
      <c r="C132" t="s">
        <v>2861</v>
      </c>
      <c r="D132" t="s">
        <v>2780</v>
      </c>
      <c r="E132" t="s">
        <v>2823</v>
      </c>
      <c r="F132" t="str">
        <f>"34/668"</f>
        <v>34/668</v>
      </c>
      <c r="G132" t="s">
        <v>2854</v>
      </c>
      <c r="H132" t="s">
        <v>7014</v>
      </c>
      <c r="I132">
        <v>33.87</v>
      </c>
    </row>
    <row r="133" spans="1:9" ht="12.75">
      <c r="A133">
        <v>119</v>
      </c>
      <c r="B133" t="s">
        <v>2286</v>
      </c>
      <c r="C133" t="s">
        <v>2840</v>
      </c>
      <c r="D133" t="s">
        <v>2780</v>
      </c>
      <c r="E133" t="s">
        <v>2818</v>
      </c>
      <c r="F133" t="str">
        <f>"11/380"</f>
        <v>11/380</v>
      </c>
      <c r="G133" t="s">
        <v>3261</v>
      </c>
      <c r="H133" t="s">
        <v>7015</v>
      </c>
      <c r="I133">
        <v>33.87</v>
      </c>
    </row>
    <row r="134" spans="1:9" ht="12.75">
      <c r="A134">
        <v>120</v>
      </c>
      <c r="B134" t="s">
        <v>7016</v>
      </c>
      <c r="C134" t="s">
        <v>2836</v>
      </c>
      <c r="D134" t="s">
        <v>2780</v>
      </c>
      <c r="E134" t="s">
        <v>2781</v>
      </c>
      <c r="F134" t="str">
        <f>"38/354"</f>
        <v>38/354</v>
      </c>
      <c r="G134" t="s">
        <v>3206</v>
      </c>
      <c r="H134" t="s">
        <v>7017</v>
      </c>
      <c r="I134">
        <v>33.87</v>
      </c>
    </row>
    <row r="135" spans="1:9" ht="12.75">
      <c r="A135">
        <v>121</v>
      </c>
      <c r="B135" t="s">
        <v>7018</v>
      </c>
      <c r="C135" t="s">
        <v>2916</v>
      </c>
      <c r="D135" t="s">
        <v>2780</v>
      </c>
      <c r="E135" t="s">
        <v>2781</v>
      </c>
      <c r="F135" t="str">
        <f>"39/354"</f>
        <v>39/354</v>
      </c>
      <c r="G135" t="s">
        <v>636</v>
      </c>
      <c r="H135" t="s">
        <v>7019</v>
      </c>
      <c r="I135">
        <v>33.87</v>
      </c>
    </row>
    <row r="136" spans="1:9" ht="12.75">
      <c r="A136">
        <v>122</v>
      </c>
      <c r="B136" t="s">
        <v>7020</v>
      </c>
      <c r="C136" t="s">
        <v>660</v>
      </c>
      <c r="D136" t="s">
        <v>2780</v>
      </c>
      <c r="E136" t="s">
        <v>2823</v>
      </c>
      <c r="F136" t="str">
        <f>"35/668"</f>
        <v>35/668</v>
      </c>
      <c r="G136" t="s">
        <v>636</v>
      </c>
      <c r="H136" t="s">
        <v>7021</v>
      </c>
      <c r="I136">
        <v>33.87</v>
      </c>
    </row>
    <row r="137" spans="1:9" ht="12.75">
      <c r="A137">
        <v>123</v>
      </c>
      <c r="B137" t="s">
        <v>7022</v>
      </c>
      <c r="C137" t="s">
        <v>3141</v>
      </c>
      <c r="D137" t="s">
        <v>2780</v>
      </c>
      <c r="E137" t="s">
        <v>2823</v>
      </c>
      <c r="F137" t="str">
        <f>"36/668"</f>
        <v>36/668</v>
      </c>
      <c r="G137" t="s">
        <v>2862</v>
      </c>
      <c r="H137" t="s">
        <v>7023</v>
      </c>
      <c r="I137">
        <v>33.87</v>
      </c>
    </row>
    <row r="138" spans="1:9" ht="12.75">
      <c r="A138">
        <v>124</v>
      </c>
      <c r="B138" t="s">
        <v>7024</v>
      </c>
      <c r="C138" t="s">
        <v>3045</v>
      </c>
      <c r="D138" t="s">
        <v>2780</v>
      </c>
      <c r="E138" t="s">
        <v>2823</v>
      </c>
      <c r="F138" t="str">
        <f>"37/668"</f>
        <v>37/668</v>
      </c>
      <c r="G138" t="s">
        <v>3261</v>
      </c>
      <c r="H138" t="s">
        <v>7025</v>
      </c>
      <c r="I138">
        <v>33.86</v>
      </c>
    </row>
    <row r="139" spans="1:9" ht="12.75">
      <c r="A139">
        <v>125</v>
      </c>
      <c r="B139" t="s">
        <v>7026</v>
      </c>
      <c r="C139" t="s">
        <v>615</v>
      </c>
      <c r="D139" t="s">
        <v>2780</v>
      </c>
      <c r="E139" t="s">
        <v>2823</v>
      </c>
      <c r="F139" t="str">
        <f>"38/668"</f>
        <v>38/668</v>
      </c>
      <c r="G139" t="s">
        <v>3220</v>
      </c>
      <c r="H139" t="s">
        <v>7027</v>
      </c>
      <c r="I139">
        <v>33.86</v>
      </c>
    </row>
    <row r="140" spans="1:9" ht="12.75">
      <c r="A140">
        <v>126</v>
      </c>
      <c r="B140" t="s">
        <v>7028</v>
      </c>
      <c r="C140" t="s">
        <v>3417</v>
      </c>
      <c r="D140" t="s">
        <v>2780</v>
      </c>
      <c r="E140" t="s">
        <v>2781</v>
      </c>
      <c r="F140" t="str">
        <f>"40/354"</f>
        <v>40/354</v>
      </c>
      <c r="G140" t="s">
        <v>2948</v>
      </c>
      <c r="H140" t="s">
        <v>7029</v>
      </c>
      <c r="I140">
        <v>33.86</v>
      </c>
    </row>
    <row r="141" spans="1:9" ht="12.75">
      <c r="A141">
        <v>127</v>
      </c>
      <c r="B141" t="s">
        <v>7030</v>
      </c>
      <c r="C141" t="s">
        <v>2861</v>
      </c>
      <c r="D141" t="s">
        <v>2780</v>
      </c>
      <c r="E141" t="s">
        <v>2823</v>
      </c>
      <c r="F141" t="str">
        <f>"39/668"</f>
        <v>39/668</v>
      </c>
      <c r="G141" t="s">
        <v>59</v>
      </c>
      <c r="H141" t="s">
        <v>7031</v>
      </c>
      <c r="I141">
        <v>33.85</v>
      </c>
    </row>
    <row r="142" spans="1:9" ht="12.75">
      <c r="A142">
        <v>128</v>
      </c>
      <c r="B142" t="s">
        <v>206</v>
      </c>
      <c r="C142" t="s">
        <v>2826</v>
      </c>
      <c r="D142" t="s">
        <v>2780</v>
      </c>
      <c r="E142" t="s">
        <v>2818</v>
      </c>
      <c r="F142" t="str">
        <f>"12/380"</f>
        <v>12/380</v>
      </c>
      <c r="G142" t="s">
        <v>459</v>
      </c>
      <c r="H142" t="s">
        <v>7032</v>
      </c>
      <c r="I142">
        <v>33.85</v>
      </c>
    </row>
    <row r="143" spans="1:9" ht="12.75">
      <c r="A143">
        <v>129</v>
      </c>
      <c r="B143" t="s">
        <v>490</v>
      </c>
      <c r="C143" t="s">
        <v>3213</v>
      </c>
      <c r="D143" t="s">
        <v>2780</v>
      </c>
      <c r="E143" t="s">
        <v>2823</v>
      </c>
      <c r="F143" t="str">
        <f>"40/668"</f>
        <v>40/668</v>
      </c>
      <c r="G143" t="s">
        <v>7033</v>
      </c>
      <c r="H143" t="s">
        <v>7034</v>
      </c>
      <c r="I143">
        <v>33.85</v>
      </c>
    </row>
    <row r="144" spans="1:9" ht="12.75">
      <c r="A144">
        <v>130</v>
      </c>
      <c r="B144" t="s">
        <v>7035</v>
      </c>
      <c r="C144" t="s">
        <v>2886</v>
      </c>
      <c r="D144" t="s">
        <v>2780</v>
      </c>
      <c r="E144" t="s">
        <v>2781</v>
      </c>
      <c r="F144" t="str">
        <f>"41/354"</f>
        <v>41/354</v>
      </c>
      <c r="G144" t="s">
        <v>2693</v>
      </c>
      <c r="H144" t="s">
        <v>7036</v>
      </c>
      <c r="I144">
        <v>33.85</v>
      </c>
    </row>
    <row r="145" spans="1:9" ht="12.75">
      <c r="A145">
        <v>131</v>
      </c>
      <c r="B145" t="s">
        <v>7037</v>
      </c>
      <c r="C145" t="s">
        <v>3108</v>
      </c>
      <c r="D145" t="s">
        <v>2780</v>
      </c>
      <c r="E145" t="s">
        <v>2823</v>
      </c>
      <c r="F145" t="str">
        <f>"41/668"</f>
        <v>41/668</v>
      </c>
      <c r="G145" t="s">
        <v>2858</v>
      </c>
      <c r="H145" t="s">
        <v>7038</v>
      </c>
      <c r="I145">
        <v>33.85</v>
      </c>
    </row>
    <row r="146" spans="1:9" ht="12.75">
      <c r="A146">
        <v>132</v>
      </c>
      <c r="B146" t="s">
        <v>7039</v>
      </c>
      <c r="C146" t="s">
        <v>2807</v>
      </c>
      <c r="D146" t="s">
        <v>2780</v>
      </c>
      <c r="E146" t="s">
        <v>2823</v>
      </c>
      <c r="F146" t="str">
        <f>"42/668"</f>
        <v>42/668</v>
      </c>
      <c r="G146" t="s">
        <v>3261</v>
      </c>
      <c r="H146" t="s">
        <v>7040</v>
      </c>
      <c r="I146">
        <v>33.85</v>
      </c>
    </row>
    <row r="147" spans="1:9" ht="12.75">
      <c r="A147">
        <v>133</v>
      </c>
      <c r="B147" t="s">
        <v>469</v>
      </c>
      <c r="C147" t="s">
        <v>3114</v>
      </c>
      <c r="D147" t="s">
        <v>2780</v>
      </c>
      <c r="E147" t="s">
        <v>2823</v>
      </c>
      <c r="F147" t="str">
        <f>"43/668"</f>
        <v>43/668</v>
      </c>
      <c r="G147" t="s">
        <v>942</v>
      </c>
      <c r="H147" t="s">
        <v>7041</v>
      </c>
      <c r="I147">
        <v>33.85</v>
      </c>
    </row>
    <row r="148" spans="1:9" ht="12.75">
      <c r="A148">
        <v>134</v>
      </c>
      <c r="B148" t="s">
        <v>7042</v>
      </c>
      <c r="C148" t="s">
        <v>7043</v>
      </c>
      <c r="D148" t="s">
        <v>2780</v>
      </c>
      <c r="E148" t="s">
        <v>2799</v>
      </c>
      <c r="F148" t="str">
        <f>"15/100"</f>
        <v>15/100</v>
      </c>
      <c r="G148" t="s">
        <v>2851</v>
      </c>
      <c r="H148" t="s">
        <v>7044</v>
      </c>
      <c r="I148">
        <v>33.84</v>
      </c>
    </row>
    <row r="149" spans="1:9" ht="12.75">
      <c r="A149">
        <v>135</v>
      </c>
      <c r="B149" t="s">
        <v>5618</v>
      </c>
      <c r="C149" t="s">
        <v>2836</v>
      </c>
      <c r="D149" t="s">
        <v>2780</v>
      </c>
      <c r="E149" t="s">
        <v>2781</v>
      </c>
      <c r="F149" t="str">
        <f>"42/354"</f>
        <v>42/354</v>
      </c>
      <c r="G149" t="s">
        <v>2243</v>
      </c>
      <c r="H149" t="s">
        <v>7045</v>
      </c>
      <c r="I149">
        <v>33.84</v>
      </c>
    </row>
    <row r="150" spans="1:9" ht="12.75">
      <c r="A150">
        <v>136</v>
      </c>
      <c r="B150" t="s">
        <v>7046</v>
      </c>
      <c r="C150" t="s">
        <v>84</v>
      </c>
      <c r="D150" t="s">
        <v>2780</v>
      </c>
      <c r="E150" t="s">
        <v>2947</v>
      </c>
      <c r="F150" t="str">
        <f>"14/16"</f>
        <v>14/16</v>
      </c>
      <c r="G150" t="s">
        <v>2564</v>
      </c>
      <c r="H150" t="s">
        <v>7047</v>
      </c>
      <c r="I150">
        <v>33.84</v>
      </c>
    </row>
    <row r="151" spans="1:9" ht="12.75">
      <c r="A151">
        <v>137</v>
      </c>
      <c r="B151" t="s">
        <v>7048</v>
      </c>
      <c r="C151" t="s">
        <v>3542</v>
      </c>
      <c r="D151" t="s">
        <v>2780</v>
      </c>
      <c r="E151" t="s">
        <v>2823</v>
      </c>
      <c r="F151" t="str">
        <f>"44/668"</f>
        <v>44/668</v>
      </c>
      <c r="G151" t="s">
        <v>3289</v>
      </c>
      <c r="H151" t="s">
        <v>7049</v>
      </c>
      <c r="I151">
        <v>33.73</v>
      </c>
    </row>
    <row r="152" spans="1:9" ht="12.75">
      <c r="A152">
        <v>138</v>
      </c>
      <c r="B152" t="s">
        <v>7050</v>
      </c>
      <c r="C152" t="s">
        <v>2895</v>
      </c>
      <c r="D152" t="s">
        <v>2780</v>
      </c>
      <c r="E152" t="s">
        <v>2781</v>
      </c>
      <c r="F152" t="str">
        <f>"43/354"</f>
        <v>43/354</v>
      </c>
      <c r="G152" t="s">
        <v>73</v>
      </c>
      <c r="H152" t="s">
        <v>7051</v>
      </c>
      <c r="I152">
        <v>33.68</v>
      </c>
    </row>
    <row r="153" spans="1:9" ht="12.75">
      <c r="A153">
        <v>139</v>
      </c>
      <c r="B153" t="s">
        <v>7052</v>
      </c>
      <c r="C153" t="s">
        <v>2810</v>
      </c>
      <c r="D153" t="s">
        <v>2780</v>
      </c>
      <c r="E153" t="s">
        <v>2947</v>
      </c>
      <c r="F153" t="str">
        <f>"15/16"</f>
        <v>15/16</v>
      </c>
      <c r="G153" t="s">
        <v>2869</v>
      </c>
      <c r="H153" t="s">
        <v>7051</v>
      </c>
      <c r="I153">
        <v>33.68</v>
      </c>
    </row>
    <row r="154" spans="1:9" ht="12.75">
      <c r="A154">
        <v>140</v>
      </c>
      <c r="B154" t="s">
        <v>7053</v>
      </c>
      <c r="C154" t="s">
        <v>3164</v>
      </c>
      <c r="D154" t="s">
        <v>2780</v>
      </c>
      <c r="E154" t="s">
        <v>2781</v>
      </c>
      <c r="F154" t="str">
        <f>"44/354"</f>
        <v>44/354</v>
      </c>
      <c r="G154" t="s">
        <v>1626</v>
      </c>
      <c r="H154" t="s">
        <v>7054</v>
      </c>
      <c r="I154">
        <v>33.68</v>
      </c>
    </row>
    <row r="155" spans="1:9" ht="12.75">
      <c r="A155">
        <v>141</v>
      </c>
      <c r="B155" t="s">
        <v>7055</v>
      </c>
      <c r="C155" t="s">
        <v>2807</v>
      </c>
      <c r="D155" t="s">
        <v>2780</v>
      </c>
      <c r="E155" t="s">
        <v>2799</v>
      </c>
      <c r="F155" t="str">
        <f>"16/100"</f>
        <v>16/100</v>
      </c>
      <c r="G155" t="s">
        <v>7056</v>
      </c>
      <c r="H155" t="s">
        <v>7057</v>
      </c>
      <c r="I155">
        <v>33.68</v>
      </c>
    </row>
    <row r="156" spans="1:9" ht="12.75">
      <c r="A156">
        <v>142</v>
      </c>
      <c r="B156" t="s">
        <v>7058</v>
      </c>
      <c r="C156" t="s">
        <v>2966</v>
      </c>
      <c r="D156" t="s">
        <v>2780</v>
      </c>
      <c r="E156" t="s">
        <v>2781</v>
      </c>
      <c r="F156" t="str">
        <f>"45/354"</f>
        <v>45/354</v>
      </c>
      <c r="G156" t="s">
        <v>2920</v>
      </c>
      <c r="H156" t="s">
        <v>7059</v>
      </c>
      <c r="I156">
        <v>33.6</v>
      </c>
    </row>
    <row r="157" spans="1:9" ht="12.75">
      <c r="A157">
        <v>143</v>
      </c>
      <c r="B157" t="s">
        <v>7060</v>
      </c>
      <c r="C157" t="s">
        <v>7061</v>
      </c>
      <c r="D157" t="s">
        <v>2780</v>
      </c>
      <c r="E157" t="s">
        <v>2799</v>
      </c>
      <c r="F157" t="str">
        <f>"17/100"</f>
        <v>17/100</v>
      </c>
      <c r="G157" t="s">
        <v>7062</v>
      </c>
      <c r="H157" t="s">
        <v>7063</v>
      </c>
      <c r="I157">
        <v>33.48</v>
      </c>
    </row>
    <row r="158" spans="1:9" ht="12.75">
      <c r="A158">
        <v>144</v>
      </c>
      <c r="B158" t="s">
        <v>7064</v>
      </c>
      <c r="C158" t="s">
        <v>2895</v>
      </c>
      <c r="D158" t="s">
        <v>2780</v>
      </c>
      <c r="E158" t="s">
        <v>2781</v>
      </c>
      <c r="F158" t="str">
        <f>"46/354"</f>
        <v>46/354</v>
      </c>
      <c r="G158" t="s">
        <v>7065</v>
      </c>
      <c r="H158" t="s">
        <v>7066</v>
      </c>
      <c r="I158">
        <v>33.47</v>
      </c>
    </row>
    <row r="159" spans="1:9" ht="12.75">
      <c r="A159">
        <v>145</v>
      </c>
      <c r="B159" t="s">
        <v>654</v>
      </c>
      <c r="C159" t="s">
        <v>2807</v>
      </c>
      <c r="D159" t="s">
        <v>2780</v>
      </c>
      <c r="E159" t="s">
        <v>2781</v>
      </c>
      <c r="F159" t="str">
        <f>"47/354"</f>
        <v>47/354</v>
      </c>
      <c r="G159" t="s">
        <v>3206</v>
      </c>
      <c r="H159" t="s">
        <v>7067</v>
      </c>
      <c r="I159">
        <v>33.47</v>
      </c>
    </row>
    <row r="160" spans="1:9" ht="12.75">
      <c r="A160">
        <v>146</v>
      </c>
      <c r="B160" t="s">
        <v>7068</v>
      </c>
      <c r="C160" t="s">
        <v>2876</v>
      </c>
      <c r="D160" t="s">
        <v>2780</v>
      </c>
      <c r="E160" t="s">
        <v>2781</v>
      </c>
      <c r="F160" t="str">
        <f>"48/354"</f>
        <v>48/354</v>
      </c>
      <c r="G160" t="s">
        <v>7069</v>
      </c>
      <c r="H160" t="s">
        <v>7070</v>
      </c>
      <c r="I160">
        <v>33.45</v>
      </c>
    </row>
    <row r="161" spans="1:9" ht="12.75">
      <c r="A161">
        <v>147</v>
      </c>
      <c r="B161" t="s">
        <v>7071</v>
      </c>
      <c r="C161" t="s">
        <v>3438</v>
      </c>
      <c r="D161" t="s">
        <v>2780</v>
      </c>
      <c r="E161" t="s">
        <v>2781</v>
      </c>
      <c r="F161" t="str">
        <f>"49/354"</f>
        <v>49/354</v>
      </c>
      <c r="G161" t="s">
        <v>7069</v>
      </c>
      <c r="H161" t="s">
        <v>7072</v>
      </c>
      <c r="I161">
        <v>33.44</v>
      </c>
    </row>
    <row r="162" spans="1:9" ht="12.75">
      <c r="A162">
        <v>148</v>
      </c>
      <c r="B162" t="s">
        <v>7073</v>
      </c>
      <c r="C162" t="s">
        <v>5379</v>
      </c>
      <c r="D162" t="s">
        <v>2780</v>
      </c>
      <c r="E162" t="s">
        <v>2781</v>
      </c>
      <c r="F162" t="str">
        <f>"50/354"</f>
        <v>50/354</v>
      </c>
      <c r="G162" t="s">
        <v>7074</v>
      </c>
      <c r="H162" t="s">
        <v>7075</v>
      </c>
      <c r="I162">
        <v>33.43</v>
      </c>
    </row>
    <row r="163" spans="1:9" ht="12.75">
      <c r="A163">
        <v>149</v>
      </c>
      <c r="B163" t="s">
        <v>7076</v>
      </c>
      <c r="C163" t="s">
        <v>2814</v>
      </c>
      <c r="D163" t="s">
        <v>2780</v>
      </c>
      <c r="E163" t="s">
        <v>2781</v>
      </c>
      <c r="F163" t="str">
        <f>"51/354"</f>
        <v>51/354</v>
      </c>
      <c r="G163" t="s">
        <v>3099</v>
      </c>
      <c r="H163" t="s">
        <v>7077</v>
      </c>
      <c r="I163">
        <v>33.4</v>
      </c>
    </row>
    <row r="164" spans="1:9" ht="12.75">
      <c r="A164">
        <v>150</v>
      </c>
      <c r="B164" t="s">
        <v>3615</v>
      </c>
      <c r="C164" t="s">
        <v>7078</v>
      </c>
      <c r="D164" t="s">
        <v>2780</v>
      </c>
      <c r="E164" t="s">
        <v>2823</v>
      </c>
      <c r="F164" t="str">
        <f>"45/668"</f>
        <v>45/668</v>
      </c>
      <c r="G164" t="s">
        <v>59</v>
      </c>
      <c r="H164" t="s">
        <v>7079</v>
      </c>
      <c r="I164">
        <v>33.36</v>
      </c>
    </row>
    <row r="165" spans="1:9" ht="12.75">
      <c r="A165">
        <v>151</v>
      </c>
      <c r="B165" t="s">
        <v>7080</v>
      </c>
      <c r="C165" t="s">
        <v>2814</v>
      </c>
      <c r="D165" t="s">
        <v>2780</v>
      </c>
      <c r="E165" t="s">
        <v>2781</v>
      </c>
      <c r="F165" t="str">
        <f>"52/354"</f>
        <v>52/354</v>
      </c>
      <c r="G165" t="s">
        <v>3134</v>
      </c>
      <c r="H165" t="s">
        <v>7081</v>
      </c>
      <c r="I165">
        <v>33.36</v>
      </c>
    </row>
    <row r="166" spans="1:9" ht="12.75">
      <c r="A166">
        <v>152</v>
      </c>
      <c r="B166" t="s">
        <v>7082</v>
      </c>
      <c r="C166" t="s">
        <v>2966</v>
      </c>
      <c r="D166" t="s">
        <v>2780</v>
      </c>
      <c r="E166" t="s">
        <v>2823</v>
      </c>
      <c r="F166" t="str">
        <f>"46/668"</f>
        <v>46/668</v>
      </c>
      <c r="G166" t="s">
        <v>5065</v>
      </c>
      <c r="H166" t="s">
        <v>7083</v>
      </c>
      <c r="I166">
        <v>33.33</v>
      </c>
    </row>
    <row r="167" spans="1:9" ht="12.75">
      <c r="A167">
        <v>153</v>
      </c>
      <c r="B167" t="s">
        <v>7084</v>
      </c>
      <c r="C167" t="s">
        <v>3213</v>
      </c>
      <c r="D167" t="s">
        <v>2780</v>
      </c>
      <c r="E167" t="s">
        <v>2823</v>
      </c>
      <c r="F167" t="str">
        <f>"47/668"</f>
        <v>47/668</v>
      </c>
      <c r="G167" t="s">
        <v>3412</v>
      </c>
      <c r="H167" t="s">
        <v>7085</v>
      </c>
      <c r="I167">
        <v>33.3</v>
      </c>
    </row>
    <row r="168" spans="1:9" ht="12.75">
      <c r="A168">
        <v>154</v>
      </c>
      <c r="B168" t="s">
        <v>7086</v>
      </c>
      <c r="C168" t="s">
        <v>2817</v>
      </c>
      <c r="D168" t="s">
        <v>2780</v>
      </c>
      <c r="E168" t="s">
        <v>2823</v>
      </c>
      <c r="F168" t="str">
        <f>"48/668"</f>
        <v>48/668</v>
      </c>
      <c r="G168" t="s">
        <v>7087</v>
      </c>
      <c r="H168" t="s">
        <v>7088</v>
      </c>
      <c r="I168">
        <v>33.3</v>
      </c>
    </row>
    <row r="169" spans="1:9" ht="12.75">
      <c r="A169">
        <v>155</v>
      </c>
      <c r="B169" t="s">
        <v>7089</v>
      </c>
      <c r="C169" t="s">
        <v>3337</v>
      </c>
      <c r="D169" t="s">
        <v>2780</v>
      </c>
      <c r="E169" t="s">
        <v>2781</v>
      </c>
      <c r="F169" t="str">
        <f>"53/354"</f>
        <v>53/354</v>
      </c>
      <c r="G169" t="s">
        <v>4978</v>
      </c>
      <c r="H169" t="s">
        <v>7090</v>
      </c>
      <c r="I169">
        <v>33.29</v>
      </c>
    </row>
    <row r="170" spans="1:9" ht="12.75">
      <c r="A170">
        <v>156</v>
      </c>
      <c r="B170" t="s">
        <v>7091</v>
      </c>
      <c r="C170" t="s">
        <v>3057</v>
      </c>
      <c r="D170" t="s">
        <v>2780</v>
      </c>
      <c r="E170" t="s">
        <v>2823</v>
      </c>
      <c r="F170" t="str">
        <f>"49/668"</f>
        <v>49/668</v>
      </c>
      <c r="G170" t="s">
        <v>3134</v>
      </c>
      <c r="H170" t="s">
        <v>7092</v>
      </c>
      <c r="I170">
        <v>33.28</v>
      </c>
    </row>
    <row r="171" spans="1:9" ht="12.75">
      <c r="A171">
        <v>157</v>
      </c>
      <c r="B171" t="s">
        <v>3056</v>
      </c>
      <c r="C171" t="s">
        <v>2814</v>
      </c>
      <c r="D171" t="s">
        <v>2780</v>
      </c>
      <c r="E171" t="s">
        <v>2781</v>
      </c>
      <c r="F171" t="str">
        <f>"54/354"</f>
        <v>54/354</v>
      </c>
      <c r="G171" t="s">
        <v>7093</v>
      </c>
      <c r="H171" t="s">
        <v>7094</v>
      </c>
      <c r="I171">
        <v>33.27</v>
      </c>
    </row>
    <row r="172" spans="1:9" ht="12.75">
      <c r="A172">
        <v>158</v>
      </c>
      <c r="B172" t="s">
        <v>7095</v>
      </c>
      <c r="C172" t="s">
        <v>330</v>
      </c>
      <c r="D172" t="s">
        <v>3031</v>
      </c>
      <c r="E172" t="s">
        <v>3244</v>
      </c>
      <c r="F172" t="str">
        <f>"2/40"</f>
        <v>2/40</v>
      </c>
      <c r="G172" t="s">
        <v>7096</v>
      </c>
      <c r="H172" t="s">
        <v>7094</v>
      </c>
      <c r="I172">
        <v>33.27</v>
      </c>
    </row>
    <row r="173" spans="1:9" ht="12.75">
      <c r="A173">
        <v>159</v>
      </c>
      <c r="B173" t="s">
        <v>5373</v>
      </c>
      <c r="C173" t="s">
        <v>3350</v>
      </c>
      <c r="D173" t="s">
        <v>2780</v>
      </c>
      <c r="E173" t="s">
        <v>2818</v>
      </c>
      <c r="F173" t="str">
        <f>"13/380"</f>
        <v>13/380</v>
      </c>
      <c r="G173" t="s">
        <v>2982</v>
      </c>
      <c r="H173" t="s">
        <v>7097</v>
      </c>
      <c r="I173">
        <v>33.27</v>
      </c>
    </row>
    <row r="174" spans="1:9" ht="12.75">
      <c r="A174">
        <v>160</v>
      </c>
      <c r="B174" t="s">
        <v>7098</v>
      </c>
      <c r="C174" t="s">
        <v>2807</v>
      </c>
      <c r="D174" t="s">
        <v>2780</v>
      </c>
      <c r="E174" t="s">
        <v>2786</v>
      </c>
      <c r="F174" t="str">
        <f>"9/44"</f>
        <v>9/44</v>
      </c>
      <c r="G174" t="s">
        <v>175</v>
      </c>
      <c r="H174" t="s">
        <v>7099</v>
      </c>
      <c r="I174">
        <v>33.27</v>
      </c>
    </row>
    <row r="175" spans="1:9" ht="12.75">
      <c r="A175">
        <v>161</v>
      </c>
      <c r="B175" t="s">
        <v>7100</v>
      </c>
      <c r="C175" t="s">
        <v>2807</v>
      </c>
      <c r="D175" t="s">
        <v>2780</v>
      </c>
      <c r="E175" t="s">
        <v>2823</v>
      </c>
      <c r="F175" t="str">
        <f>"50/668"</f>
        <v>50/668</v>
      </c>
      <c r="G175" t="s">
        <v>7101</v>
      </c>
      <c r="H175" t="s">
        <v>7102</v>
      </c>
      <c r="I175">
        <v>33.26</v>
      </c>
    </row>
    <row r="176" spans="1:9" ht="12.75">
      <c r="A176">
        <v>162</v>
      </c>
      <c r="B176" t="s">
        <v>7103</v>
      </c>
      <c r="C176" t="s">
        <v>3174</v>
      </c>
      <c r="D176" t="s">
        <v>2780</v>
      </c>
      <c r="E176" t="s">
        <v>2799</v>
      </c>
      <c r="F176" t="str">
        <f>"18/100"</f>
        <v>18/100</v>
      </c>
      <c r="G176" t="s">
        <v>7104</v>
      </c>
      <c r="H176" t="s">
        <v>7105</v>
      </c>
      <c r="I176">
        <v>33.25</v>
      </c>
    </row>
    <row r="177" spans="1:9" ht="12.75">
      <c r="A177">
        <v>163</v>
      </c>
      <c r="B177" t="s">
        <v>7106</v>
      </c>
      <c r="C177" t="s">
        <v>2991</v>
      </c>
      <c r="D177" t="s">
        <v>2780</v>
      </c>
      <c r="E177" t="s">
        <v>2823</v>
      </c>
      <c r="F177" t="str">
        <f>"51/668"</f>
        <v>51/668</v>
      </c>
      <c r="G177" t="s">
        <v>7107</v>
      </c>
      <c r="H177" t="s">
        <v>7108</v>
      </c>
      <c r="I177">
        <v>33.24</v>
      </c>
    </row>
    <row r="178" spans="1:9" ht="12.75">
      <c r="A178">
        <v>164</v>
      </c>
      <c r="B178" t="s">
        <v>431</v>
      </c>
      <c r="C178" t="s">
        <v>3087</v>
      </c>
      <c r="D178" t="s">
        <v>2780</v>
      </c>
      <c r="E178" t="s">
        <v>2823</v>
      </c>
      <c r="F178" t="str">
        <f>"52/668"</f>
        <v>52/668</v>
      </c>
      <c r="G178" t="s">
        <v>3206</v>
      </c>
      <c r="H178" t="s">
        <v>7109</v>
      </c>
      <c r="I178">
        <v>33.24</v>
      </c>
    </row>
    <row r="179" spans="1:9" ht="12.75">
      <c r="A179">
        <v>165</v>
      </c>
      <c r="B179" t="s">
        <v>1796</v>
      </c>
      <c r="C179" t="s">
        <v>3164</v>
      </c>
      <c r="D179" t="s">
        <v>2780</v>
      </c>
      <c r="E179" t="s">
        <v>2823</v>
      </c>
      <c r="F179" t="str">
        <f>"53/668"</f>
        <v>53/668</v>
      </c>
      <c r="G179" t="s">
        <v>7110</v>
      </c>
      <c r="H179" t="s">
        <v>7111</v>
      </c>
      <c r="I179">
        <v>33.24</v>
      </c>
    </row>
    <row r="180" spans="1:9" ht="12.75">
      <c r="A180">
        <v>166</v>
      </c>
      <c r="B180" t="s">
        <v>7112</v>
      </c>
      <c r="C180" t="s">
        <v>2966</v>
      </c>
      <c r="D180" t="s">
        <v>2780</v>
      </c>
      <c r="E180" t="s">
        <v>2781</v>
      </c>
      <c r="F180" t="str">
        <f>"55/354"</f>
        <v>55/354</v>
      </c>
      <c r="G180" t="s">
        <v>308</v>
      </c>
      <c r="H180" t="s">
        <v>7113</v>
      </c>
      <c r="I180">
        <v>33.23</v>
      </c>
    </row>
    <row r="181" spans="1:9" ht="12.75">
      <c r="A181">
        <v>167</v>
      </c>
      <c r="B181" t="s">
        <v>7114</v>
      </c>
      <c r="C181" t="s">
        <v>2810</v>
      </c>
      <c r="D181" t="s">
        <v>2780</v>
      </c>
      <c r="E181" t="s">
        <v>2781</v>
      </c>
      <c r="F181" t="str">
        <f>"56/354"</f>
        <v>56/354</v>
      </c>
      <c r="G181" t="s">
        <v>3018</v>
      </c>
      <c r="H181" t="s">
        <v>7115</v>
      </c>
      <c r="I181">
        <v>33.22</v>
      </c>
    </row>
    <row r="182" spans="1:9" ht="12.75">
      <c r="A182">
        <v>168</v>
      </c>
      <c r="B182" t="s">
        <v>593</v>
      </c>
      <c r="C182" t="s">
        <v>615</v>
      </c>
      <c r="D182" t="s">
        <v>2780</v>
      </c>
      <c r="E182" t="s">
        <v>2781</v>
      </c>
      <c r="F182" t="str">
        <f>"57/354"</f>
        <v>57/354</v>
      </c>
      <c r="G182" t="s">
        <v>2804</v>
      </c>
      <c r="H182" t="s">
        <v>7116</v>
      </c>
      <c r="I182">
        <v>33.22</v>
      </c>
    </row>
    <row r="183" spans="1:9" ht="12.75">
      <c r="A183">
        <v>169</v>
      </c>
      <c r="B183" t="s">
        <v>1068</v>
      </c>
      <c r="C183" t="s">
        <v>3116</v>
      </c>
      <c r="D183" t="s">
        <v>2780</v>
      </c>
      <c r="E183" t="s">
        <v>2781</v>
      </c>
      <c r="F183" t="str">
        <f>"58/354"</f>
        <v>58/354</v>
      </c>
      <c r="G183" t="s">
        <v>3134</v>
      </c>
      <c r="H183" t="s">
        <v>7117</v>
      </c>
      <c r="I183">
        <v>33.22</v>
      </c>
    </row>
    <row r="184" spans="1:9" ht="12.75">
      <c r="A184">
        <v>170</v>
      </c>
      <c r="B184" t="s">
        <v>7118</v>
      </c>
      <c r="C184" t="s">
        <v>2865</v>
      </c>
      <c r="D184" t="s">
        <v>2780</v>
      </c>
      <c r="E184" t="s">
        <v>2781</v>
      </c>
      <c r="F184" t="str">
        <f>"59/354"</f>
        <v>59/354</v>
      </c>
      <c r="G184" t="s">
        <v>7119</v>
      </c>
      <c r="H184" t="s">
        <v>7120</v>
      </c>
      <c r="I184">
        <v>33.21</v>
      </c>
    </row>
    <row r="185" spans="1:9" ht="12.75">
      <c r="A185">
        <v>171</v>
      </c>
      <c r="B185" t="s">
        <v>7121</v>
      </c>
      <c r="C185" t="s">
        <v>2814</v>
      </c>
      <c r="D185" t="s">
        <v>2780</v>
      </c>
      <c r="E185" t="s">
        <v>2781</v>
      </c>
      <c r="F185" t="str">
        <f>"60/354"</f>
        <v>60/354</v>
      </c>
      <c r="G185" t="s">
        <v>3492</v>
      </c>
      <c r="H185" t="s">
        <v>7122</v>
      </c>
      <c r="I185">
        <v>33.21</v>
      </c>
    </row>
    <row r="186" spans="1:9" ht="12.75">
      <c r="A186">
        <v>172</v>
      </c>
      <c r="B186" t="s">
        <v>7123</v>
      </c>
      <c r="C186" t="s">
        <v>1604</v>
      </c>
      <c r="D186" t="s">
        <v>2780</v>
      </c>
      <c r="E186" t="s">
        <v>2823</v>
      </c>
      <c r="F186" t="str">
        <f>"54/668"</f>
        <v>54/668</v>
      </c>
      <c r="G186" t="s">
        <v>3261</v>
      </c>
      <c r="H186" t="s">
        <v>7124</v>
      </c>
      <c r="I186">
        <v>33.18</v>
      </c>
    </row>
    <row r="187" spans="1:9" ht="12.75">
      <c r="A187">
        <v>173</v>
      </c>
      <c r="B187" t="s">
        <v>7125</v>
      </c>
      <c r="C187" t="s">
        <v>3057</v>
      </c>
      <c r="D187" t="s">
        <v>2780</v>
      </c>
      <c r="E187" t="s">
        <v>2818</v>
      </c>
      <c r="F187" t="str">
        <f>"14/380"</f>
        <v>14/380</v>
      </c>
      <c r="G187" t="s">
        <v>2851</v>
      </c>
      <c r="H187" t="s">
        <v>7126</v>
      </c>
      <c r="I187">
        <v>33.13</v>
      </c>
    </row>
    <row r="188" spans="1:9" ht="12.75">
      <c r="A188">
        <v>174</v>
      </c>
      <c r="B188" t="s">
        <v>1632</v>
      </c>
      <c r="C188" t="s">
        <v>2807</v>
      </c>
      <c r="D188" t="s">
        <v>2780</v>
      </c>
      <c r="E188" t="s">
        <v>2781</v>
      </c>
      <c r="F188" t="str">
        <f>"61/354"</f>
        <v>61/354</v>
      </c>
      <c r="G188" t="s">
        <v>7127</v>
      </c>
      <c r="H188" t="s">
        <v>7128</v>
      </c>
      <c r="I188">
        <v>33.11</v>
      </c>
    </row>
    <row r="189" spans="1:9" ht="12.75">
      <c r="A189">
        <v>175</v>
      </c>
      <c r="B189" t="s">
        <v>7129</v>
      </c>
      <c r="C189" t="s">
        <v>2857</v>
      </c>
      <c r="D189" t="s">
        <v>2780</v>
      </c>
      <c r="E189" t="s">
        <v>2781</v>
      </c>
      <c r="F189" t="str">
        <f>"62/354"</f>
        <v>62/354</v>
      </c>
      <c r="G189" t="s">
        <v>2880</v>
      </c>
      <c r="H189" t="s">
        <v>7130</v>
      </c>
      <c r="I189">
        <v>33.11</v>
      </c>
    </row>
    <row r="190" spans="1:9" ht="12.75">
      <c r="A190">
        <v>176</v>
      </c>
      <c r="B190" t="s">
        <v>7131</v>
      </c>
      <c r="C190" t="s">
        <v>3164</v>
      </c>
      <c r="D190" t="s">
        <v>2780</v>
      </c>
      <c r="E190" t="s">
        <v>2781</v>
      </c>
      <c r="F190" t="str">
        <f>"63/354"</f>
        <v>63/354</v>
      </c>
      <c r="G190" t="s">
        <v>2851</v>
      </c>
      <c r="H190" t="s">
        <v>7132</v>
      </c>
      <c r="I190">
        <v>33.06</v>
      </c>
    </row>
    <row r="191" spans="1:9" ht="12.75">
      <c r="A191">
        <v>177</v>
      </c>
      <c r="B191" t="s">
        <v>7133</v>
      </c>
      <c r="C191" t="s">
        <v>2810</v>
      </c>
      <c r="D191" t="s">
        <v>2780</v>
      </c>
      <c r="E191" t="s">
        <v>2823</v>
      </c>
      <c r="F191" t="str">
        <f>"55/668"</f>
        <v>55/668</v>
      </c>
      <c r="G191" t="s">
        <v>720</v>
      </c>
      <c r="H191" t="s">
        <v>7134</v>
      </c>
      <c r="I191">
        <v>33.04</v>
      </c>
    </row>
    <row r="192" spans="1:9" ht="12.75">
      <c r="A192">
        <v>178</v>
      </c>
      <c r="B192" t="s">
        <v>2635</v>
      </c>
      <c r="C192" t="s">
        <v>3560</v>
      </c>
      <c r="D192" t="s">
        <v>2780</v>
      </c>
      <c r="E192" t="s">
        <v>2781</v>
      </c>
      <c r="F192" t="str">
        <f>"64/354"</f>
        <v>64/354</v>
      </c>
      <c r="G192" t="s">
        <v>7135</v>
      </c>
      <c r="H192" t="s">
        <v>7136</v>
      </c>
      <c r="I192">
        <v>33.04</v>
      </c>
    </row>
    <row r="193" spans="1:9" ht="12.75">
      <c r="A193">
        <v>179</v>
      </c>
      <c r="B193" t="s">
        <v>7137</v>
      </c>
      <c r="C193" t="s">
        <v>2916</v>
      </c>
      <c r="D193" t="s">
        <v>2780</v>
      </c>
      <c r="E193" t="s">
        <v>2799</v>
      </c>
      <c r="F193" t="str">
        <f>"19/100"</f>
        <v>19/100</v>
      </c>
      <c r="G193" t="s">
        <v>7135</v>
      </c>
      <c r="H193" t="s">
        <v>7138</v>
      </c>
      <c r="I193">
        <v>33.03</v>
      </c>
    </row>
    <row r="194" spans="1:9" ht="12.75">
      <c r="A194">
        <v>180</v>
      </c>
      <c r="B194" t="s">
        <v>7139</v>
      </c>
      <c r="C194" t="s">
        <v>2814</v>
      </c>
      <c r="D194" t="s">
        <v>2780</v>
      </c>
      <c r="E194" t="s">
        <v>2781</v>
      </c>
      <c r="F194" t="str">
        <f>"65/354"</f>
        <v>65/354</v>
      </c>
      <c r="G194" t="s">
        <v>7140</v>
      </c>
      <c r="H194" t="s">
        <v>7141</v>
      </c>
      <c r="I194">
        <v>33.03</v>
      </c>
    </row>
    <row r="195" spans="1:9" ht="12.75">
      <c r="A195">
        <v>181</v>
      </c>
      <c r="B195" t="s">
        <v>7142</v>
      </c>
      <c r="C195" t="s">
        <v>3087</v>
      </c>
      <c r="D195" t="s">
        <v>2780</v>
      </c>
      <c r="E195" t="s">
        <v>2823</v>
      </c>
      <c r="F195" t="str">
        <f>"56/668"</f>
        <v>56/668</v>
      </c>
      <c r="G195" t="s">
        <v>7143</v>
      </c>
      <c r="H195" t="s">
        <v>7144</v>
      </c>
      <c r="I195">
        <v>33.02</v>
      </c>
    </row>
    <row r="196" spans="1:9" ht="12.75">
      <c r="A196">
        <v>182</v>
      </c>
      <c r="B196" t="s">
        <v>7145</v>
      </c>
      <c r="C196" t="s">
        <v>3008</v>
      </c>
      <c r="D196" t="s">
        <v>2780</v>
      </c>
      <c r="E196" t="s">
        <v>2823</v>
      </c>
      <c r="F196" t="str">
        <f>"57/668"</f>
        <v>57/668</v>
      </c>
      <c r="G196" t="s">
        <v>7146</v>
      </c>
      <c r="H196" t="s">
        <v>7147</v>
      </c>
      <c r="I196">
        <v>33.02</v>
      </c>
    </row>
    <row r="197" spans="1:9" ht="12.75">
      <c r="A197">
        <v>183</v>
      </c>
      <c r="B197" t="s">
        <v>7148</v>
      </c>
      <c r="C197" t="s">
        <v>3286</v>
      </c>
      <c r="D197" t="s">
        <v>2780</v>
      </c>
      <c r="E197" t="s">
        <v>2818</v>
      </c>
      <c r="F197" t="str">
        <f>"15/380"</f>
        <v>15/380</v>
      </c>
      <c r="G197" t="s">
        <v>2628</v>
      </c>
      <c r="H197" t="s">
        <v>7149</v>
      </c>
      <c r="I197">
        <v>33.01</v>
      </c>
    </row>
    <row r="198" spans="1:9" ht="12.75">
      <c r="A198">
        <v>184</v>
      </c>
      <c r="B198" t="s">
        <v>7150</v>
      </c>
      <c r="C198" t="s">
        <v>2931</v>
      </c>
      <c r="D198" t="s">
        <v>2780</v>
      </c>
      <c r="E198" t="s">
        <v>2781</v>
      </c>
      <c r="F198" t="str">
        <f>"66/354"</f>
        <v>66/354</v>
      </c>
      <c r="G198" t="s">
        <v>59</v>
      </c>
      <c r="H198" t="s">
        <v>7151</v>
      </c>
      <c r="I198">
        <v>33.01</v>
      </c>
    </row>
    <row r="199" spans="1:9" ht="12.75">
      <c r="A199">
        <v>185</v>
      </c>
      <c r="B199" t="s">
        <v>479</v>
      </c>
      <c r="C199" t="s">
        <v>2810</v>
      </c>
      <c r="D199" t="s">
        <v>2780</v>
      </c>
      <c r="E199" t="s">
        <v>2781</v>
      </c>
      <c r="F199" t="str">
        <f>"67/354"</f>
        <v>67/354</v>
      </c>
      <c r="G199" t="s">
        <v>2883</v>
      </c>
      <c r="H199" t="s">
        <v>7152</v>
      </c>
      <c r="I199">
        <v>33</v>
      </c>
    </row>
    <row r="200" spans="1:9" ht="12.75">
      <c r="A200">
        <v>186</v>
      </c>
      <c r="B200" t="s">
        <v>7153</v>
      </c>
      <c r="C200" t="s">
        <v>3008</v>
      </c>
      <c r="D200" t="s">
        <v>2780</v>
      </c>
      <c r="E200" t="s">
        <v>2781</v>
      </c>
      <c r="F200" t="str">
        <f>"68/354"</f>
        <v>68/354</v>
      </c>
      <c r="G200" t="s">
        <v>2889</v>
      </c>
      <c r="H200" t="s">
        <v>7154</v>
      </c>
      <c r="I200">
        <v>33</v>
      </c>
    </row>
    <row r="201" spans="1:9" ht="12.75">
      <c r="A201">
        <v>187</v>
      </c>
      <c r="B201" t="s">
        <v>7155</v>
      </c>
      <c r="C201" t="s">
        <v>24</v>
      </c>
      <c r="D201" t="s">
        <v>2780</v>
      </c>
      <c r="E201" t="s">
        <v>2823</v>
      </c>
      <c r="F201" t="str">
        <f>"58/668"</f>
        <v>58/668</v>
      </c>
      <c r="G201" t="s">
        <v>2693</v>
      </c>
      <c r="H201" t="s">
        <v>7156</v>
      </c>
      <c r="I201">
        <v>33</v>
      </c>
    </row>
    <row r="202" spans="1:9" ht="12.75">
      <c r="A202">
        <v>188</v>
      </c>
      <c r="B202" t="s">
        <v>7157</v>
      </c>
      <c r="C202" t="s">
        <v>3045</v>
      </c>
      <c r="D202" t="s">
        <v>2780</v>
      </c>
      <c r="E202" t="s">
        <v>2823</v>
      </c>
      <c r="F202" t="str">
        <f>"59/668"</f>
        <v>59/668</v>
      </c>
      <c r="G202" t="s">
        <v>636</v>
      </c>
      <c r="H202" t="s">
        <v>7158</v>
      </c>
      <c r="I202">
        <v>33</v>
      </c>
    </row>
    <row r="203" spans="1:9" ht="12.75">
      <c r="A203">
        <v>189</v>
      </c>
      <c r="B203" t="s">
        <v>179</v>
      </c>
      <c r="C203" t="s">
        <v>2830</v>
      </c>
      <c r="D203" t="s">
        <v>2780</v>
      </c>
      <c r="E203" t="s">
        <v>2973</v>
      </c>
      <c r="F203" t="str">
        <f>"1/147"</f>
        <v>1/147</v>
      </c>
      <c r="G203" t="s">
        <v>7159</v>
      </c>
      <c r="H203" t="s">
        <v>7158</v>
      </c>
      <c r="I203">
        <v>33</v>
      </c>
    </row>
    <row r="204" spans="1:9" ht="12.75">
      <c r="A204">
        <v>190</v>
      </c>
      <c r="B204" t="s">
        <v>7160</v>
      </c>
      <c r="C204" t="s">
        <v>2814</v>
      </c>
      <c r="D204" t="s">
        <v>2780</v>
      </c>
      <c r="E204" t="s">
        <v>2823</v>
      </c>
      <c r="F204" t="str">
        <f>"60/668"</f>
        <v>60/668</v>
      </c>
      <c r="G204" t="s">
        <v>3261</v>
      </c>
      <c r="H204" t="s">
        <v>7161</v>
      </c>
      <c r="I204">
        <v>33</v>
      </c>
    </row>
    <row r="205" spans="1:9" ht="12.75">
      <c r="A205">
        <v>191</v>
      </c>
      <c r="B205" t="s">
        <v>467</v>
      </c>
      <c r="C205" t="s">
        <v>2840</v>
      </c>
      <c r="D205" t="s">
        <v>2780</v>
      </c>
      <c r="E205" t="s">
        <v>2818</v>
      </c>
      <c r="F205" t="str">
        <f>"16/380"</f>
        <v>16/380</v>
      </c>
      <c r="G205" t="s">
        <v>1016</v>
      </c>
      <c r="H205" t="s">
        <v>7162</v>
      </c>
      <c r="I205">
        <v>33</v>
      </c>
    </row>
    <row r="206" spans="1:9" ht="12.75">
      <c r="A206">
        <v>192</v>
      </c>
      <c r="B206" t="s">
        <v>7163</v>
      </c>
      <c r="C206" t="s">
        <v>504</v>
      </c>
      <c r="D206" t="s">
        <v>2780</v>
      </c>
      <c r="E206" t="s">
        <v>2823</v>
      </c>
      <c r="F206" t="str">
        <f>"61/668"</f>
        <v>61/668</v>
      </c>
      <c r="G206" t="s">
        <v>3046</v>
      </c>
      <c r="H206" t="s">
        <v>7162</v>
      </c>
      <c r="I206">
        <v>33</v>
      </c>
    </row>
    <row r="207" spans="1:9" ht="12.75">
      <c r="A207">
        <v>193</v>
      </c>
      <c r="B207" t="s">
        <v>5477</v>
      </c>
      <c r="C207" t="s">
        <v>2840</v>
      </c>
      <c r="D207" t="s">
        <v>2780</v>
      </c>
      <c r="E207" t="s">
        <v>2823</v>
      </c>
      <c r="F207" t="str">
        <f>"62/668"</f>
        <v>62/668</v>
      </c>
      <c r="G207" t="s">
        <v>2693</v>
      </c>
      <c r="H207" t="s">
        <v>7164</v>
      </c>
      <c r="I207">
        <v>33</v>
      </c>
    </row>
    <row r="208" spans="1:9" ht="12.75">
      <c r="A208">
        <v>194</v>
      </c>
      <c r="B208" t="s">
        <v>7165</v>
      </c>
      <c r="C208" t="s">
        <v>2857</v>
      </c>
      <c r="D208" t="s">
        <v>2780</v>
      </c>
      <c r="E208" t="s">
        <v>2818</v>
      </c>
      <c r="F208" t="str">
        <f>"17/380"</f>
        <v>17/380</v>
      </c>
      <c r="G208" t="s">
        <v>3206</v>
      </c>
      <c r="H208" t="s">
        <v>7164</v>
      </c>
      <c r="I208">
        <v>33</v>
      </c>
    </row>
    <row r="209" spans="1:9" ht="12.75">
      <c r="A209">
        <v>195</v>
      </c>
      <c r="B209" t="s">
        <v>7166</v>
      </c>
      <c r="C209" t="s">
        <v>43</v>
      </c>
      <c r="D209" t="s">
        <v>2780</v>
      </c>
      <c r="E209" t="s">
        <v>2818</v>
      </c>
      <c r="F209" t="str">
        <f>"18/380"</f>
        <v>18/380</v>
      </c>
      <c r="G209" t="s">
        <v>7167</v>
      </c>
      <c r="H209" t="s">
        <v>7168</v>
      </c>
      <c r="I209">
        <v>33</v>
      </c>
    </row>
    <row r="210" spans="1:9" ht="12.75">
      <c r="A210">
        <v>196</v>
      </c>
      <c r="B210" t="s">
        <v>866</v>
      </c>
      <c r="C210" t="s">
        <v>3057</v>
      </c>
      <c r="D210" t="s">
        <v>2780</v>
      </c>
      <c r="E210" t="s">
        <v>2973</v>
      </c>
      <c r="F210" t="str">
        <f>"2/147"</f>
        <v>2/147</v>
      </c>
      <c r="G210" t="s">
        <v>202</v>
      </c>
      <c r="H210" t="s">
        <v>7169</v>
      </c>
      <c r="I210">
        <v>32.99</v>
      </c>
    </row>
    <row r="211" spans="1:9" ht="12.75">
      <c r="A211">
        <v>197</v>
      </c>
      <c r="B211" t="s">
        <v>7170</v>
      </c>
      <c r="C211" t="s">
        <v>2814</v>
      </c>
      <c r="D211" t="s">
        <v>2780</v>
      </c>
      <c r="E211" t="s">
        <v>2786</v>
      </c>
      <c r="F211" t="str">
        <f>"10/44"</f>
        <v>10/44</v>
      </c>
      <c r="G211" t="s">
        <v>2998</v>
      </c>
      <c r="H211" t="s">
        <v>7171</v>
      </c>
      <c r="I211">
        <v>32.99</v>
      </c>
    </row>
    <row r="212" spans="1:9" ht="12.75">
      <c r="A212">
        <v>198</v>
      </c>
      <c r="B212" t="s">
        <v>7172</v>
      </c>
      <c r="C212" t="s">
        <v>3417</v>
      </c>
      <c r="D212" t="s">
        <v>2780</v>
      </c>
      <c r="E212" t="s">
        <v>2973</v>
      </c>
      <c r="F212" t="str">
        <f>"3/147"</f>
        <v>3/147</v>
      </c>
      <c r="G212" t="s">
        <v>202</v>
      </c>
      <c r="H212" t="s">
        <v>7173</v>
      </c>
      <c r="I212">
        <v>32.99</v>
      </c>
    </row>
    <row r="213" spans="1:9" ht="12.75">
      <c r="A213">
        <v>199</v>
      </c>
      <c r="B213" t="s">
        <v>7174</v>
      </c>
      <c r="C213" t="s">
        <v>191</v>
      </c>
      <c r="D213" t="s">
        <v>2780</v>
      </c>
      <c r="E213" t="s">
        <v>2823</v>
      </c>
      <c r="F213" t="str">
        <f>"63/668"</f>
        <v>63/668</v>
      </c>
      <c r="G213" t="s">
        <v>3060</v>
      </c>
      <c r="H213" t="s">
        <v>7175</v>
      </c>
      <c r="I213">
        <v>32.99</v>
      </c>
    </row>
    <row r="214" spans="1:9" ht="12.75">
      <c r="A214">
        <v>200</v>
      </c>
      <c r="B214" t="s">
        <v>7176</v>
      </c>
      <c r="C214" t="s">
        <v>2807</v>
      </c>
      <c r="D214" t="s">
        <v>2780</v>
      </c>
      <c r="E214" t="s">
        <v>2799</v>
      </c>
      <c r="F214" t="str">
        <f>"20/100"</f>
        <v>20/100</v>
      </c>
      <c r="G214" t="s">
        <v>7177</v>
      </c>
      <c r="H214" t="s">
        <v>7178</v>
      </c>
      <c r="I214">
        <v>32.99</v>
      </c>
    </row>
    <row r="215" spans="1:9" ht="12.75">
      <c r="A215">
        <v>201</v>
      </c>
      <c r="B215" t="s">
        <v>1698</v>
      </c>
      <c r="C215" t="s">
        <v>3123</v>
      </c>
      <c r="D215" t="s">
        <v>2780</v>
      </c>
      <c r="E215" t="s">
        <v>2823</v>
      </c>
      <c r="F215" t="str">
        <f>"64/668"</f>
        <v>64/668</v>
      </c>
      <c r="G215" t="s">
        <v>2854</v>
      </c>
      <c r="H215" t="s">
        <v>7179</v>
      </c>
      <c r="I215">
        <v>32.99</v>
      </c>
    </row>
    <row r="216" spans="1:9" ht="12.75">
      <c r="A216">
        <v>202</v>
      </c>
      <c r="B216" t="s">
        <v>7180</v>
      </c>
      <c r="C216" t="s">
        <v>2931</v>
      </c>
      <c r="D216" t="s">
        <v>2780</v>
      </c>
      <c r="E216" t="s">
        <v>2781</v>
      </c>
      <c r="F216" t="str">
        <f>"69/354"</f>
        <v>69/354</v>
      </c>
      <c r="G216" t="s">
        <v>7127</v>
      </c>
      <c r="H216" t="s">
        <v>7181</v>
      </c>
      <c r="I216">
        <v>32.98</v>
      </c>
    </row>
    <row r="217" spans="1:9" ht="12.75">
      <c r="A217">
        <v>203</v>
      </c>
      <c r="B217" t="s">
        <v>7182</v>
      </c>
      <c r="C217" t="s">
        <v>3057</v>
      </c>
      <c r="D217" t="s">
        <v>2780</v>
      </c>
      <c r="E217" t="s">
        <v>2823</v>
      </c>
      <c r="F217" t="str">
        <f>"65/668"</f>
        <v>65/668</v>
      </c>
      <c r="G217" t="s">
        <v>59</v>
      </c>
      <c r="H217" t="s">
        <v>7183</v>
      </c>
      <c r="I217">
        <v>32.98</v>
      </c>
    </row>
    <row r="218" spans="1:9" ht="12.75">
      <c r="A218">
        <v>204</v>
      </c>
      <c r="B218" t="s">
        <v>1807</v>
      </c>
      <c r="C218" t="s">
        <v>2810</v>
      </c>
      <c r="D218" t="s">
        <v>2780</v>
      </c>
      <c r="E218" t="s">
        <v>2781</v>
      </c>
      <c r="F218" t="str">
        <f>"70/354"</f>
        <v>70/354</v>
      </c>
      <c r="G218" t="s">
        <v>459</v>
      </c>
      <c r="H218" t="s">
        <v>7184</v>
      </c>
      <c r="I218">
        <v>32.98</v>
      </c>
    </row>
    <row r="219" spans="1:9" ht="12.75">
      <c r="A219">
        <v>205</v>
      </c>
      <c r="B219" t="s">
        <v>7185</v>
      </c>
      <c r="C219" t="s">
        <v>7186</v>
      </c>
      <c r="D219" t="s">
        <v>2780</v>
      </c>
      <c r="E219" t="s">
        <v>2823</v>
      </c>
      <c r="F219" t="str">
        <f>"66/668"</f>
        <v>66/668</v>
      </c>
      <c r="G219" t="s">
        <v>3261</v>
      </c>
      <c r="H219" t="s">
        <v>7187</v>
      </c>
      <c r="I219">
        <v>32.98</v>
      </c>
    </row>
    <row r="220" spans="1:9" ht="12.75">
      <c r="A220">
        <v>206</v>
      </c>
      <c r="B220" t="s">
        <v>7188</v>
      </c>
      <c r="C220" t="s">
        <v>2836</v>
      </c>
      <c r="D220" t="s">
        <v>2780</v>
      </c>
      <c r="E220" t="s">
        <v>2823</v>
      </c>
      <c r="F220" t="str">
        <f>"67/668"</f>
        <v>67/668</v>
      </c>
      <c r="G220" t="s">
        <v>59</v>
      </c>
      <c r="H220" t="s">
        <v>7189</v>
      </c>
      <c r="I220">
        <v>32.97</v>
      </c>
    </row>
    <row r="221" spans="1:9" ht="12.75">
      <c r="A221">
        <v>207</v>
      </c>
      <c r="B221" t="s">
        <v>7190</v>
      </c>
      <c r="C221" t="s">
        <v>2886</v>
      </c>
      <c r="D221" t="s">
        <v>2780</v>
      </c>
      <c r="E221" t="s">
        <v>2781</v>
      </c>
      <c r="F221" t="str">
        <f>"71/354"</f>
        <v>71/354</v>
      </c>
      <c r="G221" t="s">
        <v>3587</v>
      </c>
      <c r="H221" t="s">
        <v>7191</v>
      </c>
      <c r="I221">
        <v>32.97</v>
      </c>
    </row>
    <row r="222" spans="1:9" ht="12.75">
      <c r="A222">
        <v>208</v>
      </c>
      <c r="B222" t="s">
        <v>2210</v>
      </c>
      <c r="C222" t="s">
        <v>2836</v>
      </c>
      <c r="D222" t="s">
        <v>2780</v>
      </c>
      <c r="E222" t="s">
        <v>2823</v>
      </c>
      <c r="F222" t="str">
        <f>"68/668"</f>
        <v>68/668</v>
      </c>
      <c r="G222" t="s">
        <v>7192</v>
      </c>
      <c r="H222" t="s">
        <v>7193</v>
      </c>
      <c r="I222">
        <v>32.97</v>
      </c>
    </row>
    <row r="223" spans="1:9" ht="12.75">
      <c r="A223">
        <v>209</v>
      </c>
      <c r="B223" t="s">
        <v>629</v>
      </c>
      <c r="C223" t="s">
        <v>761</v>
      </c>
      <c r="D223" t="s">
        <v>2780</v>
      </c>
      <c r="E223" t="s">
        <v>2823</v>
      </c>
      <c r="F223" t="str">
        <f>"69/668"</f>
        <v>69/668</v>
      </c>
      <c r="G223" t="s">
        <v>7096</v>
      </c>
      <c r="H223" t="s">
        <v>7194</v>
      </c>
      <c r="I223">
        <v>32.96</v>
      </c>
    </row>
    <row r="224" spans="1:9" ht="12.75">
      <c r="A224">
        <v>210</v>
      </c>
      <c r="B224" t="s">
        <v>7195</v>
      </c>
      <c r="C224" t="s">
        <v>2836</v>
      </c>
      <c r="D224" t="s">
        <v>2780</v>
      </c>
      <c r="E224" t="s">
        <v>2823</v>
      </c>
      <c r="F224" t="str">
        <f>"70/668"</f>
        <v>70/668</v>
      </c>
      <c r="G224" t="s">
        <v>2896</v>
      </c>
      <c r="H224" t="s">
        <v>7196</v>
      </c>
      <c r="I224">
        <v>32.96</v>
      </c>
    </row>
    <row r="225" spans="1:9" ht="12.75">
      <c r="A225">
        <v>211</v>
      </c>
      <c r="B225" t="s">
        <v>7180</v>
      </c>
      <c r="C225" t="s">
        <v>3276</v>
      </c>
      <c r="D225" t="s">
        <v>2780</v>
      </c>
      <c r="E225" t="s">
        <v>2781</v>
      </c>
      <c r="F225" t="str">
        <f>"72/354"</f>
        <v>72/354</v>
      </c>
      <c r="G225" t="s">
        <v>7127</v>
      </c>
      <c r="H225" t="s">
        <v>7197</v>
      </c>
      <c r="I225">
        <v>32.95</v>
      </c>
    </row>
    <row r="226" spans="1:9" ht="12.75">
      <c r="A226">
        <v>212</v>
      </c>
      <c r="B226" t="s">
        <v>7198</v>
      </c>
      <c r="C226" t="s">
        <v>7199</v>
      </c>
      <c r="D226" t="s">
        <v>2780</v>
      </c>
      <c r="E226" t="s">
        <v>2818</v>
      </c>
      <c r="F226" t="str">
        <f>"19/380"</f>
        <v>19/380</v>
      </c>
      <c r="G226" t="s">
        <v>261</v>
      </c>
      <c r="H226" t="s">
        <v>7200</v>
      </c>
      <c r="I226">
        <v>32.95</v>
      </c>
    </row>
    <row r="227" spans="1:9" ht="12.75">
      <c r="A227">
        <v>213</v>
      </c>
      <c r="B227" t="s">
        <v>7201</v>
      </c>
      <c r="C227" t="s">
        <v>2826</v>
      </c>
      <c r="D227" t="s">
        <v>2780</v>
      </c>
      <c r="E227" t="s">
        <v>2823</v>
      </c>
      <c r="F227" t="str">
        <f>"71/668"</f>
        <v>71/668</v>
      </c>
      <c r="G227" t="s">
        <v>7202</v>
      </c>
      <c r="H227" t="s">
        <v>7203</v>
      </c>
      <c r="I227">
        <v>32.94</v>
      </c>
    </row>
    <row r="228" spans="1:9" ht="12.75">
      <c r="A228">
        <v>214</v>
      </c>
      <c r="B228" t="s">
        <v>7204</v>
      </c>
      <c r="C228" t="s">
        <v>3164</v>
      </c>
      <c r="D228" t="s">
        <v>2780</v>
      </c>
      <c r="E228" t="s">
        <v>2823</v>
      </c>
      <c r="F228" t="str">
        <f>"72/668"</f>
        <v>72/668</v>
      </c>
      <c r="G228" t="s">
        <v>7127</v>
      </c>
      <c r="H228" t="s">
        <v>7205</v>
      </c>
      <c r="I228">
        <v>32.94</v>
      </c>
    </row>
    <row r="229" spans="1:9" ht="12.75">
      <c r="A229">
        <v>215</v>
      </c>
      <c r="B229" t="s">
        <v>7206</v>
      </c>
      <c r="C229" t="s">
        <v>2840</v>
      </c>
      <c r="D229" t="s">
        <v>2780</v>
      </c>
      <c r="E229" t="s">
        <v>2823</v>
      </c>
      <c r="F229" t="str">
        <f>"73/668"</f>
        <v>73/668</v>
      </c>
      <c r="G229" t="s">
        <v>7207</v>
      </c>
      <c r="H229" t="s">
        <v>7208</v>
      </c>
      <c r="I229">
        <v>32.92</v>
      </c>
    </row>
    <row r="230" spans="1:9" ht="12.75">
      <c r="A230">
        <v>216</v>
      </c>
      <c r="B230" t="s">
        <v>5538</v>
      </c>
      <c r="C230" t="s">
        <v>2865</v>
      </c>
      <c r="D230" t="s">
        <v>2780</v>
      </c>
      <c r="E230" t="s">
        <v>3209</v>
      </c>
      <c r="F230" t="str">
        <f>"1/13"</f>
        <v>1/13</v>
      </c>
      <c r="G230" t="s">
        <v>3018</v>
      </c>
      <c r="H230" t="s">
        <v>7209</v>
      </c>
      <c r="I230">
        <v>32.91</v>
      </c>
    </row>
    <row r="231" spans="1:9" ht="12.75">
      <c r="A231">
        <v>217</v>
      </c>
      <c r="B231" t="s">
        <v>7210</v>
      </c>
      <c r="C231" t="s">
        <v>2857</v>
      </c>
      <c r="D231" t="s">
        <v>2780</v>
      </c>
      <c r="E231" t="s">
        <v>2823</v>
      </c>
      <c r="F231" t="str">
        <f>"74/668"</f>
        <v>74/668</v>
      </c>
      <c r="G231" t="s">
        <v>59</v>
      </c>
      <c r="H231" t="s">
        <v>7211</v>
      </c>
      <c r="I231">
        <v>32.9</v>
      </c>
    </row>
    <row r="232" spans="1:9" ht="12.75">
      <c r="A232">
        <v>218</v>
      </c>
      <c r="B232" t="s">
        <v>7212</v>
      </c>
      <c r="C232" t="s">
        <v>2865</v>
      </c>
      <c r="D232" t="s">
        <v>2780</v>
      </c>
      <c r="E232" t="s">
        <v>2781</v>
      </c>
      <c r="F232" t="str">
        <f>"73/354"</f>
        <v>73/354</v>
      </c>
      <c r="G232" t="s">
        <v>2920</v>
      </c>
      <c r="H232" t="s">
        <v>7213</v>
      </c>
      <c r="I232">
        <v>32.89</v>
      </c>
    </row>
    <row r="233" spans="1:9" ht="12.75">
      <c r="A233">
        <v>219</v>
      </c>
      <c r="B233" t="s">
        <v>7214</v>
      </c>
      <c r="C233" t="s">
        <v>3201</v>
      </c>
      <c r="D233" t="s">
        <v>2780</v>
      </c>
      <c r="E233" t="s">
        <v>2799</v>
      </c>
      <c r="F233" t="str">
        <f>"21/100"</f>
        <v>21/100</v>
      </c>
      <c r="G233" t="s">
        <v>7215</v>
      </c>
      <c r="H233" t="s">
        <v>7216</v>
      </c>
      <c r="I233">
        <v>32.89</v>
      </c>
    </row>
    <row r="234" spans="1:9" s="1" customFormat="1" ht="12.75">
      <c r="A234" s="1">
        <v>220</v>
      </c>
      <c r="B234" s="1" t="s">
        <v>7217</v>
      </c>
      <c r="C234" s="1" t="s">
        <v>2991</v>
      </c>
      <c r="D234" s="1" t="s">
        <v>2780</v>
      </c>
      <c r="E234" s="1" t="s">
        <v>2823</v>
      </c>
      <c r="F234" s="1" t="str">
        <f>"75/668"</f>
        <v>75/668</v>
      </c>
      <c r="G234" s="1" t="s">
        <v>5536</v>
      </c>
      <c r="H234" s="1" t="s">
        <v>7218</v>
      </c>
      <c r="I234" s="1">
        <v>32.88</v>
      </c>
    </row>
    <row r="235" spans="1:9" ht="12.75">
      <c r="A235">
        <v>221</v>
      </c>
      <c r="B235" t="s">
        <v>7219</v>
      </c>
      <c r="C235" t="s">
        <v>84</v>
      </c>
      <c r="D235" t="s">
        <v>2780</v>
      </c>
      <c r="E235" t="s">
        <v>2823</v>
      </c>
      <c r="F235" t="str">
        <f>"76/668"</f>
        <v>76/668</v>
      </c>
      <c r="G235" t="s">
        <v>3088</v>
      </c>
      <c r="H235" t="s">
        <v>7220</v>
      </c>
      <c r="I235">
        <v>32.87</v>
      </c>
    </row>
    <row r="236" spans="1:9" ht="12.75">
      <c r="A236">
        <v>222</v>
      </c>
      <c r="B236" t="s">
        <v>2875</v>
      </c>
      <c r="C236" t="s">
        <v>2963</v>
      </c>
      <c r="D236" t="s">
        <v>2780</v>
      </c>
      <c r="E236" t="s">
        <v>2823</v>
      </c>
      <c r="F236" t="str">
        <f>"77/668"</f>
        <v>77/668</v>
      </c>
      <c r="G236" t="s">
        <v>459</v>
      </c>
      <c r="H236" t="s">
        <v>7221</v>
      </c>
      <c r="I236">
        <v>32.87</v>
      </c>
    </row>
    <row r="237" spans="1:9" ht="12.75">
      <c r="A237">
        <v>223</v>
      </c>
      <c r="B237" t="s">
        <v>7222</v>
      </c>
      <c r="C237" t="s">
        <v>2966</v>
      </c>
      <c r="D237" t="s">
        <v>2780</v>
      </c>
      <c r="E237" t="s">
        <v>2818</v>
      </c>
      <c r="F237" t="str">
        <f>"20/380"</f>
        <v>20/380</v>
      </c>
      <c r="G237" t="s">
        <v>3363</v>
      </c>
      <c r="H237" t="s">
        <v>7223</v>
      </c>
      <c r="I237">
        <v>32.84</v>
      </c>
    </row>
    <row r="238" spans="1:9" ht="12.75">
      <c r="A238">
        <v>224</v>
      </c>
      <c r="B238" t="s">
        <v>7224</v>
      </c>
      <c r="C238" t="s">
        <v>3292</v>
      </c>
      <c r="D238" t="s">
        <v>2780</v>
      </c>
      <c r="E238" t="s">
        <v>2781</v>
      </c>
      <c r="F238" t="str">
        <f>"74/354"</f>
        <v>74/354</v>
      </c>
      <c r="G238" t="s">
        <v>7225</v>
      </c>
      <c r="H238" t="s">
        <v>7226</v>
      </c>
      <c r="I238">
        <v>32.84</v>
      </c>
    </row>
    <row r="239" spans="1:9" ht="12.75">
      <c r="A239">
        <v>225</v>
      </c>
      <c r="B239" t="s">
        <v>7227</v>
      </c>
      <c r="C239" t="s">
        <v>2963</v>
      </c>
      <c r="D239" t="s">
        <v>2780</v>
      </c>
      <c r="E239" t="s">
        <v>2823</v>
      </c>
      <c r="F239" t="str">
        <f>"78/668"</f>
        <v>78/668</v>
      </c>
      <c r="G239" t="s">
        <v>2974</v>
      </c>
      <c r="H239" t="s">
        <v>7228</v>
      </c>
      <c r="I239">
        <v>32.84</v>
      </c>
    </row>
    <row r="240" spans="1:9" ht="12.75">
      <c r="A240">
        <v>226</v>
      </c>
      <c r="B240" t="s">
        <v>7229</v>
      </c>
      <c r="C240" t="s">
        <v>2966</v>
      </c>
      <c r="D240" t="s">
        <v>2780</v>
      </c>
      <c r="E240" t="s">
        <v>2781</v>
      </c>
      <c r="F240" t="str">
        <f>"75/354"</f>
        <v>75/354</v>
      </c>
      <c r="G240" t="s">
        <v>7230</v>
      </c>
      <c r="H240" t="s">
        <v>7231</v>
      </c>
      <c r="I240">
        <v>32.83</v>
      </c>
    </row>
    <row r="241" spans="1:9" ht="12.75">
      <c r="A241">
        <v>227</v>
      </c>
      <c r="B241" t="s">
        <v>7232</v>
      </c>
      <c r="C241" t="s">
        <v>2861</v>
      </c>
      <c r="D241" t="s">
        <v>2780</v>
      </c>
      <c r="E241" t="s">
        <v>2781</v>
      </c>
      <c r="F241" t="str">
        <f>"76/354"</f>
        <v>76/354</v>
      </c>
      <c r="G241" t="s">
        <v>3277</v>
      </c>
      <c r="H241" t="s">
        <v>7233</v>
      </c>
      <c r="I241">
        <v>32.82</v>
      </c>
    </row>
    <row r="242" spans="1:9" ht="12.75">
      <c r="A242">
        <v>228</v>
      </c>
      <c r="B242" t="s">
        <v>7234</v>
      </c>
      <c r="C242" t="s">
        <v>5149</v>
      </c>
      <c r="D242" t="s">
        <v>2780</v>
      </c>
      <c r="E242" t="s">
        <v>2781</v>
      </c>
      <c r="F242" t="str">
        <f>"77/354"</f>
        <v>77/354</v>
      </c>
      <c r="G242" t="s">
        <v>59</v>
      </c>
      <c r="H242" t="s">
        <v>7235</v>
      </c>
      <c r="I242">
        <v>32.81</v>
      </c>
    </row>
    <row r="243" spans="1:9" ht="12.75">
      <c r="A243">
        <v>229</v>
      </c>
      <c r="B243" t="s">
        <v>7236</v>
      </c>
      <c r="C243" t="s">
        <v>2840</v>
      </c>
      <c r="D243" t="s">
        <v>2780</v>
      </c>
      <c r="E243" t="s">
        <v>2823</v>
      </c>
      <c r="F243" t="str">
        <f>"79/668"</f>
        <v>79/668</v>
      </c>
      <c r="G243" t="s">
        <v>2804</v>
      </c>
      <c r="H243" t="s">
        <v>7237</v>
      </c>
      <c r="I243">
        <v>32.81</v>
      </c>
    </row>
    <row r="244" spans="1:9" ht="12.75">
      <c r="A244">
        <v>230</v>
      </c>
      <c r="B244" t="s">
        <v>7238</v>
      </c>
      <c r="C244" t="s">
        <v>2807</v>
      </c>
      <c r="D244" t="s">
        <v>2780</v>
      </c>
      <c r="E244" t="s">
        <v>2786</v>
      </c>
      <c r="F244" t="str">
        <f>"11/44"</f>
        <v>11/44</v>
      </c>
      <c r="G244" t="s">
        <v>3070</v>
      </c>
      <c r="H244" t="s">
        <v>7239</v>
      </c>
      <c r="I244">
        <v>32.81</v>
      </c>
    </row>
    <row r="245" spans="1:9" ht="12.75">
      <c r="A245">
        <v>231</v>
      </c>
      <c r="B245" t="s">
        <v>5141</v>
      </c>
      <c r="C245" t="s">
        <v>3438</v>
      </c>
      <c r="D245" t="s">
        <v>2780</v>
      </c>
      <c r="E245" t="s">
        <v>2823</v>
      </c>
      <c r="F245" t="str">
        <f>"80/668"</f>
        <v>80/668</v>
      </c>
      <c r="G245" t="s">
        <v>7240</v>
      </c>
      <c r="H245" t="s">
        <v>7241</v>
      </c>
      <c r="I245">
        <v>32.81</v>
      </c>
    </row>
    <row r="246" spans="1:9" ht="12.75">
      <c r="A246">
        <v>232</v>
      </c>
      <c r="B246" t="s">
        <v>7242</v>
      </c>
      <c r="C246" t="s">
        <v>7243</v>
      </c>
      <c r="D246" t="s">
        <v>2780</v>
      </c>
      <c r="E246" t="s">
        <v>2823</v>
      </c>
      <c r="F246" t="str">
        <f>"81/668"</f>
        <v>81/668</v>
      </c>
      <c r="G246" t="s">
        <v>7244</v>
      </c>
      <c r="H246" t="s">
        <v>7245</v>
      </c>
      <c r="I246">
        <v>32.8</v>
      </c>
    </row>
    <row r="247" spans="1:9" ht="12.75">
      <c r="A247">
        <v>233</v>
      </c>
      <c r="B247" t="s">
        <v>7246</v>
      </c>
      <c r="C247" t="s">
        <v>2914</v>
      </c>
      <c r="D247" t="s">
        <v>2780</v>
      </c>
      <c r="E247" t="s">
        <v>2786</v>
      </c>
      <c r="F247" t="str">
        <f>"12/44"</f>
        <v>12/44</v>
      </c>
      <c r="G247" t="s">
        <v>2693</v>
      </c>
      <c r="H247" t="s">
        <v>7247</v>
      </c>
      <c r="I247">
        <v>32.8</v>
      </c>
    </row>
    <row r="248" spans="1:9" ht="12.75">
      <c r="A248">
        <v>234</v>
      </c>
      <c r="B248" t="s">
        <v>4986</v>
      </c>
      <c r="C248" t="s">
        <v>7248</v>
      </c>
      <c r="D248" t="s">
        <v>2780</v>
      </c>
      <c r="E248" t="s">
        <v>2799</v>
      </c>
      <c r="F248" t="str">
        <f>"22/100"</f>
        <v>22/100</v>
      </c>
      <c r="G248" t="s">
        <v>3289</v>
      </c>
      <c r="H248" t="s">
        <v>7249</v>
      </c>
      <c r="I248">
        <v>32.8</v>
      </c>
    </row>
    <row r="249" spans="1:9" ht="12.75">
      <c r="A249">
        <v>235</v>
      </c>
      <c r="B249" t="s">
        <v>403</v>
      </c>
      <c r="C249" t="s">
        <v>2857</v>
      </c>
      <c r="D249" t="s">
        <v>2780</v>
      </c>
      <c r="E249" t="s">
        <v>2823</v>
      </c>
      <c r="F249" t="str">
        <f>"82/668"</f>
        <v>82/668</v>
      </c>
      <c r="G249" t="s">
        <v>925</v>
      </c>
      <c r="H249" t="s">
        <v>7250</v>
      </c>
      <c r="I249">
        <v>32.79</v>
      </c>
    </row>
    <row r="250" spans="1:9" ht="12.75">
      <c r="A250">
        <v>236</v>
      </c>
      <c r="B250" t="s">
        <v>7251</v>
      </c>
      <c r="C250" t="s">
        <v>2840</v>
      </c>
      <c r="D250" t="s">
        <v>2780</v>
      </c>
      <c r="E250" t="s">
        <v>2786</v>
      </c>
      <c r="F250" t="str">
        <f>"13/44"</f>
        <v>13/44</v>
      </c>
      <c r="G250" t="s">
        <v>2243</v>
      </c>
      <c r="H250" t="s">
        <v>7252</v>
      </c>
      <c r="I250">
        <v>32.79</v>
      </c>
    </row>
    <row r="251" spans="1:9" ht="12.75">
      <c r="A251">
        <v>237</v>
      </c>
      <c r="B251" t="s">
        <v>7253</v>
      </c>
      <c r="C251" t="s">
        <v>2942</v>
      </c>
      <c r="D251" t="s">
        <v>2780</v>
      </c>
      <c r="E251" t="s">
        <v>2823</v>
      </c>
      <c r="F251" t="str">
        <f>"83/668"</f>
        <v>83/668</v>
      </c>
      <c r="G251" t="s">
        <v>3060</v>
      </c>
      <c r="H251" t="s">
        <v>7254</v>
      </c>
      <c r="I251">
        <v>32.79</v>
      </c>
    </row>
    <row r="252" spans="1:9" ht="12.75">
      <c r="A252">
        <v>238</v>
      </c>
      <c r="B252" t="s">
        <v>7255</v>
      </c>
      <c r="C252" t="s">
        <v>2895</v>
      </c>
      <c r="D252" t="s">
        <v>2780</v>
      </c>
      <c r="E252" t="s">
        <v>2823</v>
      </c>
      <c r="F252" t="str">
        <f>"84/668"</f>
        <v>84/668</v>
      </c>
      <c r="G252" t="s">
        <v>4954</v>
      </c>
      <c r="H252" t="s">
        <v>7256</v>
      </c>
      <c r="I252">
        <v>32.79</v>
      </c>
    </row>
    <row r="253" spans="1:9" ht="12.75">
      <c r="A253">
        <v>239</v>
      </c>
      <c r="B253" t="s">
        <v>2835</v>
      </c>
      <c r="C253" t="s">
        <v>2895</v>
      </c>
      <c r="D253" t="s">
        <v>2780</v>
      </c>
      <c r="E253" t="s">
        <v>2781</v>
      </c>
      <c r="F253" t="str">
        <f>"78/354"</f>
        <v>78/354</v>
      </c>
      <c r="G253" t="s">
        <v>7033</v>
      </c>
      <c r="H253" t="s">
        <v>7257</v>
      </c>
      <c r="I253">
        <v>32.79</v>
      </c>
    </row>
    <row r="254" spans="1:9" ht="12.75">
      <c r="A254">
        <v>240</v>
      </c>
      <c r="B254" t="s">
        <v>7258</v>
      </c>
      <c r="C254" t="s">
        <v>615</v>
      </c>
      <c r="D254" t="s">
        <v>2780</v>
      </c>
      <c r="E254" t="s">
        <v>2818</v>
      </c>
      <c r="F254" t="str">
        <f>"21/380"</f>
        <v>21/380</v>
      </c>
      <c r="G254" t="s">
        <v>5065</v>
      </c>
      <c r="H254" t="s">
        <v>7259</v>
      </c>
      <c r="I254">
        <v>32.79</v>
      </c>
    </row>
    <row r="255" spans="1:9" ht="12.75">
      <c r="A255">
        <v>241</v>
      </c>
      <c r="B255" t="s">
        <v>7260</v>
      </c>
      <c r="C255" t="s">
        <v>2836</v>
      </c>
      <c r="D255" t="s">
        <v>2780</v>
      </c>
      <c r="E255" t="s">
        <v>2799</v>
      </c>
      <c r="F255" t="str">
        <f>"23/100"</f>
        <v>23/100</v>
      </c>
      <c r="G255" t="s">
        <v>7033</v>
      </c>
      <c r="H255" t="s">
        <v>7261</v>
      </c>
      <c r="I255">
        <v>32.79</v>
      </c>
    </row>
    <row r="256" spans="1:9" ht="12.75">
      <c r="A256">
        <v>242</v>
      </c>
      <c r="B256" t="s">
        <v>7258</v>
      </c>
      <c r="C256" t="s">
        <v>84</v>
      </c>
      <c r="D256" t="s">
        <v>2780</v>
      </c>
      <c r="E256" t="s">
        <v>2823</v>
      </c>
      <c r="F256" t="str">
        <f>"85/668"</f>
        <v>85/668</v>
      </c>
      <c r="G256" t="s">
        <v>5065</v>
      </c>
      <c r="H256" t="s">
        <v>7262</v>
      </c>
      <c r="I256">
        <v>32.79</v>
      </c>
    </row>
    <row r="257" spans="1:9" ht="12.75">
      <c r="A257">
        <v>243</v>
      </c>
      <c r="B257" t="s">
        <v>7172</v>
      </c>
      <c r="C257" t="s">
        <v>3318</v>
      </c>
      <c r="D257" t="s">
        <v>2780</v>
      </c>
      <c r="E257" t="s">
        <v>2786</v>
      </c>
      <c r="F257" t="str">
        <f>"14/44"</f>
        <v>14/44</v>
      </c>
      <c r="G257" t="s">
        <v>7263</v>
      </c>
      <c r="H257" t="s">
        <v>7264</v>
      </c>
      <c r="I257">
        <v>32.76</v>
      </c>
    </row>
    <row r="258" spans="1:9" ht="12.75">
      <c r="A258">
        <v>244</v>
      </c>
      <c r="B258" t="s">
        <v>445</v>
      </c>
      <c r="C258" t="s">
        <v>2868</v>
      </c>
      <c r="D258" t="s">
        <v>2780</v>
      </c>
      <c r="E258" t="s">
        <v>2799</v>
      </c>
      <c r="F258" t="str">
        <f>"24/100"</f>
        <v>24/100</v>
      </c>
      <c r="G258" t="s">
        <v>7265</v>
      </c>
      <c r="H258" t="s">
        <v>7266</v>
      </c>
      <c r="I258">
        <v>32.74</v>
      </c>
    </row>
    <row r="259" spans="1:9" ht="12.75">
      <c r="A259">
        <v>245</v>
      </c>
      <c r="B259" t="s">
        <v>7267</v>
      </c>
      <c r="C259" t="s">
        <v>2865</v>
      </c>
      <c r="D259" t="s">
        <v>2780</v>
      </c>
      <c r="E259" t="s">
        <v>2781</v>
      </c>
      <c r="F259" t="str">
        <f>"79/354"</f>
        <v>79/354</v>
      </c>
      <c r="G259" t="s">
        <v>7268</v>
      </c>
      <c r="H259" t="s">
        <v>7269</v>
      </c>
      <c r="I259">
        <v>32.74</v>
      </c>
    </row>
    <row r="260" spans="1:9" ht="12.75">
      <c r="A260">
        <v>246</v>
      </c>
      <c r="B260" t="s">
        <v>1068</v>
      </c>
      <c r="C260" t="s">
        <v>3147</v>
      </c>
      <c r="D260" t="s">
        <v>2780</v>
      </c>
      <c r="E260" t="s">
        <v>2823</v>
      </c>
      <c r="F260" t="str">
        <f>"86/668"</f>
        <v>86/668</v>
      </c>
      <c r="G260" t="s">
        <v>1016</v>
      </c>
      <c r="H260" t="s">
        <v>7270</v>
      </c>
      <c r="I260">
        <v>32.68</v>
      </c>
    </row>
    <row r="261" spans="1:9" ht="12.75">
      <c r="A261">
        <v>247</v>
      </c>
      <c r="B261" t="s">
        <v>638</v>
      </c>
      <c r="C261" t="s">
        <v>2861</v>
      </c>
      <c r="D261" t="s">
        <v>2780</v>
      </c>
      <c r="E261" t="s">
        <v>2823</v>
      </c>
      <c r="F261" t="str">
        <f>"87/668"</f>
        <v>87/668</v>
      </c>
      <c r="G261" t="s">
        <v>3018</v>
      </c>
      <c r="H261" t="s">
        <v>7271</v>
      </c>
      <c r="I261">
        <v>32.68</v>
      </c>
    </row>
    <row r="262" spans="1:9" ht="12.75">
      <c r="A262">
        <v>248</v>
      </c>
      <c r="B262" t="s">
        <v>474</v>
      </c>
      <c r="C262" t="s">
        <v>3337</v>
      </c>
      <c r="D262" t="s">
        <v>2780</v>
      </c>
      <c r="E262" t="s">
        <v>2823</v>
      </c>
      <c r="F262" t="str">
        <f>"88/668"</f>
        <v>88/668</v>
      </c>
      <c r="G262" t="s">
        <v>2920</v>
      </c>
      <c r="H262" t="s">
        <v>7272</v>
      </c>
      <c r="I262">
        <v>32.68</v>
      </c>
    </row>
    <row r="263" spans="1:9" ht="12.75">
      <c r="A263">
        <v>249</v>
      </c>
      <c r="B263" t="s">
        <v>1823</v>
      </c>
      <c r="C263" t="s">
        <v>2868</v>
      </c>
      <c r="D263" t="s">
        <v>2780</v>
      </c>
      <c r="E263" t="s">
        <v>2799</v>
      </c>
      <c r="F263" t="str">
        <f>"25/100"</f>
        <v>25/100</v>
      </c>
      <c r="G263" t="s">
        <v>2804</v>
      </c>
      <c r="H263" t="s">
        <v>7273</v>
      </c>
      <c r="I263">
        <v>32.68</v>
      </c>
    </row>
    <row r="264" spans="1:9" ht="12.75">
      <c r="A264">
        <v>250</v>
      </c>
      <c r="B264" t="s">
        <v>5635</v>
      </c>
      <c r="C264" t="s">
        <v>1604</v>
      </c>
      <c r="D264" t="s">
        <v>2780</v>
      </c>
      <c r="E264" t="s">
        <v>2823</v>
      </c>
      <c r="F264" t="str">
        <f>"89/668"</f>
        <v>89/668</v>
      </c>
      <c r="G264" t="s">
        <v>3277</v>
      </c>
      <c r="H264" t="s">
        <v>7274</v>
      </c>
      <c r="I264">
        <v>32.67</v>
      </c>
    </row>
    <row r="265" spans="1:9" ht="12.75">
      <c r="A265">
        <v>251</v>
      </c>
      <c r="B265" t="s">
        <v>7275</v>
      </c>
      <c r="C265" t="s">
        <v>2785</v>
      </c>
      <c r="D265" t="s">
        <v>2780</v>
      </c>
      <c r="E265" t="s">
        <v>2799</v>
      </c>
      <c r="F265" t="str">
        <f>"26/100"</f>
        <v>26/100</v>
      </c>
      <c r="G265" t="s">
        <v>720</v>
      </c>
      <c r="H265" t="s">
        <v>7276</v>
      </c>
      <c r="I265">
        <v>32.64</v>
      </c>
    </row>
    <row r="266" spans="1:9" ht="12.75">
      <c r="A266">
        <v>252</v>
      </c>
      <c r="B266" t="s">
        <v>7277</v>
      </c>
      <c r="C266" t="s">
        <v>3438</v>
      </c>
      <c r="D266" t="s">
        <v>2780</v>
      </c>
      <c r="E266" t="s">
        <v>2781</v>
      </c>
      <c r="F266" t="str">
        <f>"80/354"</f>
        <v>80/354</v>
      </c>
      <c r="G266" t="s">
        <v>720</v>
      </c>
      <c r="H266" t="s">
        <v>7278</v>
      </c>
      <c r="I266">
        <v>32.63</v>
      </c>
    </row>
    <row r="267" spans="1:9" ht="12.75">
      <c r="A267">
        <v>253</v>
      </c>
      <c r="B267" t="s">
        <v>92</v>
      </c>
      <c r="C267" t="s">
        <v>7279</v>
      </c>
      <c r="D267" t="s">
        <v>2780</v>
      </c>
      <c r="E267" t="s">
        <v>2823</v>
      </c>
      <c r="F267" t="str">
        <f>"90/668"</f>
        <v>90/668</v>
      </c>
      <c r="G267" t="s">
        <v>3289</v>
      </c>
      <c r="H267" t="s">
        <v>7280</v>
      </c>
      <c r="I267">
        <v>32.61</v>
      </c>
    </row>
    <row r="268" spans="1:9" ht="12.75">
      <c r="A268">
        <v>254</v>
      </c>
      <c r="B268" t="s">
        <v>5435</v>
      </c>
      <c r="C268" t="s">
        <v>3201</v>
      </c>
      <c r="D268" t="s">
        <v>2780</v>
      </c>
      <c r="E268" t="s">
        <v>2781</v>
      </c>
      <c r="F268" t="str">
        <f>"81/354"</f>
        <v>81/354</v>
      </c>
      <c r="G268" t="s">
        <v>3011</v>
      </c>
      <c r="H268" t="s">
        <v>7281</v>
      </c>
      <c r="I268">
        <v>32.61</v>
      </c>
    </row>
    <row r="269" spans="1:9" ht="12.75">
      <c r="A269">
        <v>255</v>
      </c>
      <c r="B269" t="s">
        <v>7282</v>
      </c>
      <c r="C269" t="s">
        <v>2939</v>
      </c>
      <c r="D269" t="s">
        <v>2780</v>
      </c>
      <c r="E269" t="s">
        <v>2823</v>
      </c>
      <c r="F269" t="str">
        <f>"91/668"</f>
        <v>91/668</v>
      </c>
      <c r="G269" t="s">
        <v>7283</v>
      </c>
      <c r="H269" t="s">
        <v>7284</v>
      </c>
      <c r="I269">
        <v>32.61</v>
      </c>
    </row>
    <row r="270" spans="1:9" ht="12.75">
      <c r="A270">
        <v>256</v>
      </c>
      <c r="B270" t="s">
        <v>7285</v>
      </c>
      <c r="C270" t="s">
        <v>610</v>
      </c>
      <c r="D270" t="s">
        <v>2780</v>
      </c>
      <c r="E270" t="s">
        <v>2781</v>
      </c>
      <c r="F270" t="str">
        <f>"82/354"</f>
        <v>82/354</v>
      </c>
      <c r="G270" t="s">
        <v>2804</v>
      </c>
      <c r="H270" t="s">
        <v>7286</v>
      </c>
      <c r="I270">
        <v>32.61</v>
      </c>
    </row>
    <row r="271" spans="1:9" ht="12.75">
      <c r="A271">
        <v>257</v>
      </c>
      <c r="B271" t="s">
        <v>410</v>
      </c>
      <c r="C271" t="s">
        <v>2857</v>
      </c>
      <c r="D271" t="s">
        <v>2780</v>
      </c>
      <c r="E271" t="s">
        <v>2781</v>
      </c>
      <c r="F271" t="str">
        <f>"83/354"</f>
        <v>83/354</v>
      </c>
      <c r="G271" t="s">
        <v>3289</v>
      </c>
      <c r="H271" t="s">
        <v>7287</v>
      </c>
      <c r="I271">
        <v>32.6</v>
      </c>
    </row>
    <row r="272" spans="1:9" ht="12.75">
      <c r="A272">
        <v>258</v>
      </c>
      <c r="B272" t="s">
        <v>7288</v>
      </c>
      <c r="C272" t="s">
        <v>2865</v>
      </c>
      <c r="D272" t="s">
        <v>2780</v>
      </c>
      <c r="E272" t="s">
        <v>2823</v>
      </c>
      <c r="F272" t="str">
        <f>"92/668"</f>
        <v>92/668</v>
      </c>
      <c r="G272" t="s">
        <v>3338</v>
      </c>
      <c r="H272" t="s">
        <v>7289</v>
      </c>
      <c r="I272">
        <v>32.58</v>
      </c>
    </row>
    <row r="273" spans="1:9" ht="12.75">
      <c r="A273">
        <v>259</v>
      </c>
      <c r="B273" t="s">
        <v>7290</v>
      </c>
      <c r="C273" t="s">
        <v>7291</v>
      </c>
      <c r="D273" t="s">
        <v>2780</v>
      </c>
      <c r="E273" t="s">
        <v>2781</v>
      </c>
      <c r="F273" t="str">
        <f>"84/354"</f>
        <v>84/354</v>
      </c>
      <c r="G273" t="s">
        <v>3277</v>
      </c>
      <c r="H273" t="s">
        <v>7292</v>
      </c>
      <c r="I273">
        <v>32.57</v>
      </c>
    </row>
    <row r="274" spans="1:9" ht="12.75">
      <c r="A274">
        <v>260</v>
      </c>
      <c r="B274" t="s">
        <v>7293</v>
      </c>
      <c r="C274" t="s">
        <v>3057</v>
      </c>
      <c r="D274" t="s">
        <v>2780</v>
      </c>
      <c r="E274" t="s">
        <v>2781</v>
      </c>
      <c r="F274" t="str">
        <f>"85/354"</f>
        <v>85/354</v>
      </c>
      <c r="G274" t="s">
        <v>2974</v>
      </c>
      <c r="H274" t="s">
        <v>7294</v>
      </c>
      <c r="I274">
        <v>32.57</v>
      </c>
    </row>
    <row r="275" spans="1:9" ht="12.75">
      <c r="A275">
        <v>261</v>
      </c>
      <c r="B275" t="s">
        <v>400</v>
      </c>
      <c r="C275" t="s">
        <v>3633</v>
      </c>
      <c r="D275" t="s">
        <v>2780</v>
      </c>
      <c r="E275" t="s">
        <v>2799</v>
      </c>
      <c r="F275" t="str">
        <f>"27/100"</f>
        <v>27/100</v>
      </c>
      <c r="G275" t="s">
        <v>3528</v>
      </c>
      <c r="H275" t="s">
        <v>7295</v>
      </c>
      <c r="I275">
        <v>32.57</v>
      </c>
    </row>
    <row r="276" spans="1:9" ht="12.75">
      <c r="A276">
        <v>262</v>
      </c>
      <c r="B276" t="s">
        <v>5465</v>
      </c>
      <c r="C276" t="s">
        <v>2785</v>
      </c>
      <c r="D276" t="s">
        <v>2780</v>
      </c>
      <c r="E276" t="s">
        <v>2781</v>
      </c>
      <c r="F276" t="str">
        <f>"86/354"</f>
        <v>86/354</v>
      </c>
      <c r="G276" t="s">
        <v>2869</v>
      </c>
      <c r="H276" t="s">
        <v>7296</v>
      </c>
      <c r="I276">
        <v>32.57</v>
      </c>
    </row>
    <row r="277" spans="1:9" ht="12.75">
      <c r="A277">
        <v>263</v>
      </c>
      <c r="B277" t="s">
        <v>2159</v>
      </c>
      <c r="C277" t="s">
        <v>3114</v>
      </c>
      <c r="D277" t="s">
        <v>2780</v>
      </c>
      <c r="E277" t="s">
        <v>2781</v>
      </c>
      <c r="F277" t="str">
        <f>"87/354"</f>
        <v>87/354</v>
      </c>
      <c r="G277" t="s">
        <v>3261</v>
      </c>
      <c r="H277" t="s">
        <v>7297</v>
      </c>
      <c r="I277">
        <v>32.57</v>
      </c>
    </row>
    <row r="278" spans="1:9" ht="12.75">
      <c r="A278">
        <v>264</v>
      </c>
      <c r="B278" t="s">
        <v>7298</v>
      </c>
      <c r="C278" t="s">
        <v>2830</v>
      </c>
      <c r="D278" t="s">
        <v>2780</v>
      </c>
      <c r="E278" t="s">
        <v>2823</v>
      </c>
      <c r="F278" t="str">
        <f>"93/668"</f>
        <v>93/668</v>
      </c>
      <c r="G278" t="s">
        <v>3535</v>
      </c>
      <c r="H278" t="s">
        <v>7299</v>
      </c>
      <c r="I278">
        <v>32.57</v>
      </c>
    </row>
    <row r="279" spans="1:9" ht="12.75">
      <c r="A279">
        <v>265</v>
      </c>
      <c r="B279" t="s">
        <v>7300</v>
      </c>
      <c r="C279" t="s">
        <v>2830</v>
      </c>
      <c r="D279" t="s">
        <v>2780</v>
      </c>
      <c r="E279" t="s">
        <v>2818</v>
      </c>
      <c r="F279" t="str">
        <f>"22/380"</f>
        <v>22/380</v>
      </c>
      <c r="G279" t="s">
        <v>2974</v>
      </c>
      <c r="H279" t="s">
        <v>7301</v>
      </c>
      <c r="I279">
        <v>32.57</v>
      </c>
    </row>
    <row r="280" spans="1:9" ht="12.75">
      <c r="A280">
        <v>266</v>
      </c>
      <c r="B280" t="s">
        <v>7302</v>
      </c>
      <c r="C280" t="s">
        <v>2814</v>
      </c>
      <c r="D280" t="s">
        <v>2780</v>
      </c>
      <c r="E280" t="s">
        <v>2823</v>
      </c>
      <c r="F280" t="str">
        <f>"94/668"</f>
        <v>94/668</v>
      </c>
      <c r="G280" t="s">
        <v>5452</v>
      </c>
      <c r="H280" t="s">
        <v>7301</v>
      </c>
      <c r="I280">
        <v>32.57</v>
      </c>
    </row>
    <row r="281" spans="1:9" ht="12.75">
      <c r="A281">
        <v>267</v>
      </c>
      <c r="B281" t="s">
        <v>7303</v>
      </c>
      <c r="C281" t="s">
        <v>2895</v>
      </c>
      <c r="D281" t="s">
        <v>2780</v>
      </c>
      <c r="E281" t="s">
        <v>2781</v>
      </c>
      <c r="F281" t="str">
        <f>"88/354"</f>
        <v>88/354</v>
      </c>
      <c r="G281" t="s">
        <v>7225</v>
      </c>
      <c r="H281" t="s">
        <v>7304</v>
      </c>
      <c r="I281">
        <v>32.56</v>
      </c>
    </row>
    <row r="282" spans="1:9" ht="12.75">
      <c r="A282">
        <v>268</v>
      </c>
      <c r="B282" t="s">
        <v>7305</v>
      </c>
      <c r="C282" t="s">
        <v>3066</v>
      </c>
      <c r="D282" t="s">
        <v>2780</v>
      </c>
      <c r="E282" t="s">
        <v>2799</v>
      </c>
      <c r="F282" t="str">
        <f>"28/100"</f>
        <v>28/100</v>
      </c>
      <c r="G282" t="s">
        <v>3261</v>
      </c>
      <c r="H282" t="s">
        <v>7306</v>
      </c>
      <c r="I282">
        <v>32.56</v>
      </c>
    </row>
    <row r="283" spans="1:9" ht="12.75">
      <c r="A283">
        <v>269</v>
      </c>
      <c r="B283" t="s">
        <v>7307</v>
      </c>
      <c r="C283" t="s">
        <v>2840</v>
      </c>
      <c r="D283" t="s">
        <v>2780</v>
      </c>
      <c r="E283" t="s">
        <v>2786</v>
      </c>
      <c r="F283" t="str">
        <f>"15/44"</f>
        <v>15/44</v>
      </c>
      <c r="G283" t="s">
        <v>3587</v>
      </c>
      <c r="H283" t="s">
        <v>7308</v>
      </c>
      <c r="I283">
        <v>32.56</v>
      </c>
    </row>
    <row r="284" spans="1:9" ht="12.75">
      <c r="A284">
        <v>270</v>
      </c>
      <c r="B284" t="s">
        <v>7309</v>
      </c>
      <c r="C284" t="s">
        <v>2963</v>
      </c>
      <c r="D284" t="s">
        <v>2780</v>
      </c>
      <c r="E284" t="s">
        <v>2786</v>
      </c>
      <c r="F284" t="str">
        <f>"16/44"</f>
        <v>16/44</v>
      </c>
      <c r="G284" t="s">
        <v>894</v>
      </c>
      <c r="H284" t="s">
        <v>7310</v>
      </c>
      <c r="I284">
        <v>32.55</v>
      </c>
    </row>
    <row r="285" spans="1:9" ht="12.75">
      <c r="A285">
        <v>271</v>
      </c>
      <c r="B285" t="s">
        <v>4887</v>
      </c>
      <c r="C285" t="s">
        <v>7311</v>
      </c>
      <c r="D285" t="s">
        <v>2780</v>
      </c>
      <c r="E285" t="s">
        <v>2799</v>
      </c>
      <c r="F285" t="str">
        <f>"29/100"</f>
        <v>29/100</v>
      </c>
      <c r="G285" t="s">
        <v>2889</v>
      </c>
      <c r="H285" t="s">
        <v>7312</v>
      </c>
      <c r="I285">
        <v>32.54</v>
      </c>
    </row>
    <row r="286" spans="1:9" ht="12.75">
      <c r="A286">
        <v>272</v>
      </c>
      <c r="B286" t="s">
        <v>7313</v>
      </c>
      <c r="C286" t="s">
        <v>3017</v>
      </c>
      <c r="D286" t="s">
        <v>2780</v>
      </c>
      <c r="E286" t="s">
        <v>2823</v>
      </c>
      <c r="F286" t="str">
        <f>"95/668"</f>
        <v>95/668</v>
      </c>
      <c r="G286" t="s">
        <v>5590</v>
      </c>
      <c r="H286" t="s">
        <v>7314</v>
      </c>
      <c r="I286">
        <v>32.54</v>
      </c>
    </row>
    <row r="287" spans="1:9" ht="12.75">
      <c r="A287">
        <v>273</v>
      </c>
      <c r="B287" t="s">
        <v>7315</v>
      </c>
      <c r="C287" t="s">
        <v>2966</v>
      </c>
      <c r="D287" t="s">
        <v>2780</v>
      </c>
      <c r="E287" t="s">
        <v>2799</v>
      </c>
      <c r="F287" t="str">
        <f>"30/100"</f>
        <v>30/100</v>
      </c>
      <c r="G287" t="s">
        <v>7316</v>
      </c>
      <c r="H287" t="s">
        <v>7317</v>
      </c>
      <c r="I287">
        <v>32.54</v>
      </c>
    </row>
    <row r="288" spans="1:9" ht="12.75">
      <c r="A288">
        <v>274</v>
      </c>
      <c r="B288" t="s">
        <v>5465</v>
      </c>
      <c r="C288" t="s">
        <v>3633</v>
      </c>
      <c r="D288" t="s">
        <v>2780</v>
      </c>
      <c r="E288" t="s">
        <v>2823</v>
      </c>
      <c r="F288" t="str">
        <f>"96/668"</f>
        <v>96/668</v>
      </c>
      <c r="G288" t="s">
        <v>3220</v>
      </c>
      <c r="H288" t="s">
        <v>7318</v>
      </c>
      <c r="I288">
        <v>32.51</v>
      </c>
    </row>
    <row r="289" spans="1:9" ht="12.75">
      <c r="A289">
        <v>275</v>
      </c>
      <c r="B289" t="s">
        <v>7319</v>
      </c>
      <c r="C289" t="s">
        <v>3387</v>
      </c>
      <c r="D289" t="s">
        <v>2780</v>
      </c>
      <c r="E289" t="s">
        <v>2781</v>
      </c>
      <c r="F289" t="str">
        <f>"89/354"</f>
        <v>89/354</v>
      </c>
      <c r="G289" t="s">
        <v>2654</v>
      </c>
      <c r="H289" t="s">
        <v>7320</v>
      </c>
      <c r="I289">
        <v>32.51</v>
      </c>
    </row>
    <row r="290" spans="1:9" ht="12.75">
      <c r="A290">
        <v>276</v>
      </c>
      <c r="B290" t="s">
        <v>1166</v>
      </c>
      <c r="C290" t="s">
        <v>353</v>
      </c>
      <c r="D290" t="s">
        <v>2780</v>
      </c>
      <c r="E290" t="s">
        <v>2818</v>
      </c>
      <c r="F290" t="str">
        <f>"23/380"</f>
        <v>23/380</v>
      </c>
      <c r="G290" t="s">
        <v>2306</v>
      </c>
      <c r="H290" t="s">
        <v>7321</v>
      </c>
      <c r="I290">
        <v>32.5</v>
      </c>
    </row>
    <row r="291" spans="1:9" ht="12.75">
      <c r="A291">
        <v>277</v>
      </c>
      <c r="B291" t="s">
        <v>7322</v>
      </c>
      <c r="C291" t="s">
        <v>335</v>
      </c>
      <c r="D291" t="s">
        <v>2780</v>
      </c>
      <c r="E291" t="s">
        <v>2786</v>
      </c>
      <c r="F291" t="str">
        <f>"17/44"</f>
        <v>17/44</v>
      </c>
      <c r="G291" t="s">
        <v>3261</v>
      </c>
      <c r="H291" t="s">
        <v>7323</v>
      </c>
      <c r="I291">
        <v>32.48</v>
      </c>
    </row>
    <row r="292" spans="1:9" ht="12.75">
      <c r="A292">
        <v>278</v>
      </c>
      <c r="B292" t="s">
        <v>7324</v>
      </c>
      <c r="C292" t="s">
        <v>3438</v>
      </c>
      <c r="D292" t="s">
        <v>2780</v>
      </c>
      <c r="E292" t="s">
        <v>2823</v>
      </c>
      <c r="F292" t="str">
        <f>"97/668"</f>
        <v>97/668</v>
      </c>
      <c r="G292" t="s">
        <v>7325</v>
      </c>
      <c r="H292" t="s">
        <v>7326</v>
      </c>
      <c r="I292">
        <v>32.47</v>
      </c>
    </row>
    <row r="293" spans="1:9" ht="12.75">
      <c r="A293">
        <v>279</v>
      </c>
      <c r="B293" t="s">
        <v>7327</v>
      </c>
      <c r="C293" t="s">
        <v>3421</v>
      </c>
      <c r="D293" t="s">
        <v>2780</v>
      </c>
      <c r="E293" t="s">
        <v>2818</v>
      </c>
      <c r="F293" t="str">
        <f>"24/380"</f>
        <v>24/380</v>
      </c>
      <c r="G293" t="s">
        <v>2628</v>
      </c>
      <c r="H293" t="s">
        <v>7328</v>
      </c>
      <c r="I293">
        <v>32.46</v>
      </c>
    </row>
    <row r="294" spans="1:9" ht="12.75">
      <c r="A294">
        <v>280</v>
      </c>
      <c r="B294" t="s">
        <v>7329</v>
      </c>
      <c r="C294" t="s">
        <v>7291</v>
      </c>
      <c r="D294" t="s">
        <v>2780</v>
      </c>
      <c r="E294" t="s">
        <v>2781</v>
      </c>
      <c r="F294" t="str">
        <f>"90/354"</f>
        <v>90/354</v>
      </c>
      <c r="G294" t="s">
        <v>7330</v>
      </c>
      <c r="H294" t="s">
        <v>7331</v>
      </c>
      <c r="I294">
        <v>32.46</v>
      </c>
    </row>
    <row r="295" spans="1:9" ht="12.75">
      <c r="A295">
        <v>281</v>
      </c>
      <c r="B295" t="s">
        <v>286</v>
      </c>
      <c r="C295" t="s">
        <v>7332</v>
      </c>
      <c r="D295" t="s">
        <v>2780</v>
      </c>
      <c r="E295" t="s">
        <v>2818</v>
      </c>
      <c r="F295" t="str">
        <f>"25/380"</f>
        <v>25/380</v>
      </c>
      <c r="G295" t="s">
        <v>2628</v>
      </c>
      <c r="H295" t="s">
        <v>7333</v>
      </c>
      <c r="I295">
        <v>32.46</v>
      </c>
    </row>
    <row r="296" spans="1:9" ht="12.75">
      <c r="A296">
        <v>282</v>
      </c>
      <c r="B296" t="s">
        <v>7329</v>
      </c>
      <c r="C296" t="s">
        <v>2810</v>
      </c>
      <c r="D296" t="s">
        <v>2780</v>
      </c>
      <c r="E296" t="s">
        <v>2799</v>
      </c>
      <c r="F296" t="str">
        <f>"31/100"</f>
        <v>31/100</v>
      </c>
      <c r="G296" t="s">
        <v>7330</v>
      </c>
      <c r="H296" t="s">
        <v>7334</v>
      </c>
      <c r="I296">
        <v>32.45</v>
      </c>
    </row>
    <row r="297" spans="1:9" ht="12.75">
      <c r="A297">
        <v>283</v>
      </c>
      <c r="B297" t="s">
        <v>7335</v>
      </c>
      <c r="C297" t="s">
        <v>2966</v>
      </c>
      <c r="D297" t="s">
        <v>2780</v>
      </c>
      <c r="E297" t="s">
        <v>2781</v>
      </c>
      <c r="F297" t="str">
        <f>"91/354"</f>
        <v>91/354</v>
      </c>
      <c r="G297" t="s">
        <v>3261</v>
      </c>
      <c r="H297" t="s">
        <v>7336</v>
      </c>
      <c r="I297">
        <v>32.41</v>
      </c>
    </row>
    <row r="298" spans="1:9" ht="12.75">
      <c r="A298">
        <v>284</v>
      </c>
      <c r="B298" t="s">
        <v>7337</v>
      </c>
      <c r="C298" t="s">
        <v>2124</v>
      </c>
      <c r="D298" t="s">
        <v>3031</v>
      </c>
      <c r="E298" t="s">
        <v>3032</v>
      </c>
      <c r="F298" t="str">
        <f>"2/25"</f>
        <v>2/25</v>
      </c>
      <c r="G298" t="s">
        <v>720</v>
      </c>
      <c r="H298" t="s">
        <v>7338</v>
      </c>
      <c r="I298">
        <v>32.39</v>
      </c>
    </row>
    <row r="299" spans="1:9" ht="12.75">
      <c r="A299">
        <v>285</v>
      </c>
      <c r="B299" t="s">
        <v>7339</v>
      </c>
      <c r="C299" t="s">
        <v>7340</v>
      </c>
      <c r="D299" t="s">
        <v>2780</v>
      </c>
      <c r="E299" t="s">
        <v>2781</v>
      </c>
      <c r="F299" t="str">
        <f>"92/354"</f>
        <v>92/354</v>
      </c>
      <c r="G299" t="s">
        <v>2693</v>
      </c>
      <c r="H299" t="s">
        <v>7341</v>
      </c>
      <c r="I299">
        <v>32.39</v>
      </c>
    </row>
    <row r="300" spans="1:9" ht="12.75">
      <c r="A300">
        <v>286</v>
      </c>
      <c r="B300" t="s">
        <v>808</v>
      </c>
      <c r="C300" t="s">
        <v>2902</v>
      </c>
      <c r="D300" t="s">
        <v>2780</v>
      </c>
      <c r="E300" t="s">
        <v>2973</v>
      </c>
      <c r="F300" t="str">
        <f>"4/147"</f>
        <v>4/147</v>
      </c>
      <c r="G300" t="s">
        <v>2693</v>
      </c>
      <c r="H300" t="s">
        <v>7342</v>
      </c>
      <c r="I300">
        <v>32.39</v>
      </c>
    </row>
    <row r="301" spans="1:9" ht="12.75">
      <c r="A301">
        <v>287</v>
      </c>
      <c r="B301" t="s">
        <v>1654</v>
      </c>
      <c r="C301" t="s">
        <v>5387</v>
      </c>
      <c r="D301" t="s">
        <v>2780</v>
      </c>
      <c r="E301" t="s">
        <v>2781</v>
      </c>
      <c r="F301" t="str">
        <f>"93/354"</f>
        <v>93/354</v>
      </c>
      <c r="G301" t="s">
        <v>3018</v>
      </c>
      <c r="H301" t="s">
        <v>7343</v>
      </c>
      <c r="I301">
        <v>32.39</v>
      </c>
    </row>
    <row r="302" spans="1:9" ht="12.75">
      <c r="A302">
        <v>288</v>
      </c>
      <c r="B302" t="s">
        <v>2988</v>
      </c>
      <c r="C302" t="s">
        <v>2840</v>
      </c>
      <c r="D302" t="s">
        <v>2780</v>
      </c>
      <c r="E302" t="s">
        <v>2823</v>
      </c>
      <c r="F302" t="str">
        <f>"98/668"</f>
        <v>98/668</v>
      </c>
      <c r="G302" t="s">
        <v>1016</v>
      </c>
      <c r="H302" t="s">
        <v>7344</v>
      </c>
      <c r="I302">
        <v>32.39</v>
      </c>
    </row>
    <row r="303" spans="1:9" ht="12.75">
      <c r="A303">
        <v>289</v>
      </c>
      <c r="B303" t="s">
        <v>7345</v>
      </c>
      <c r="C303" t="s">
        <v>7346</v>
      </c>
      <c r="D303" t="s">
        <v>3031</v>
      </c>
      <c r="E303" t="s">
        <v>3032</v>
      </c>
      <c r="F303" t="str">
        <f>"3/25"</f>
        <v>3/25</v>
      </c>
      <c r="G303" t="s">
        <v>3018</v>
      </c>
      <c r="H303" t="s">
        <v>7347</v>
      </c>
      <c r="I303">
        <v>32.39</v>
      </c>
    </row>
    <row r="304" spans="1:9" ht="12.75">
      <c r="A304">
        <v>290</v>
      </c>
      <c r="B304" t="s">
        <v>1648</v>
      </c>
      <c r="C304" t="s">
        <v>256</v>
      </c>
      <c r="D304" t="s">
        <v>2780</v>
      </c>
      <c r="E304" t="s">
        <v>2823</v>
      </c>
      <c r="F304" t="str">
        <f>"99/668"</f>
        <v>99/668</v>
      </c>
      <c r="G304" t="s">
        <v>1016</v>
      </c>
      <c r="H304" t="s">
        <v>7348</v>
      </c>
      <c r="I304">
        <v>32.39</v>
      </c>
    </row>
    <row r="305" spans="1:9" ht="12.75">
      <c r="A305">
        <v>291</v>
      </c>
      <c r="B305" t="s">
        <v>7349</v>
      </c>
      <c r="C305" t="s">
        <v>2861</v>
      </c>
      <c r="D305" t="s">
        <v>2780</v>
      </c>
      <c r="E305" t="s">
        <v>2818</v>
      </c>
      <c r="F305" t="str">
        <f>"26/380"</f>
        <v>26/380</v>
      </c>
      <c r="G305" t="s">
        <v>7350</v>
      </c>
      <c r="H305" t="s">
        <v>7351</v>
      </c>
      <c r="I305">
        <v>32.39</v>
      </c>
    </row>
    <row r="306" spans="1:9" ht="12.75">
      <c r="A306">
        <v>292</v>
      </c>
      <c r="B306" t="s">
        <v>7352</v>
      </c>
      <c r="C306" t="s">
        <v>2350</v>
      </c>
      <c r="D306" t="s">
        <v>2780</v>
      </c>
      <c r="E306" t="s">
        <v>2973</v>
      </c>
      <c r="F306" t="str">
        <f>"5/147"</f>
        <v>5/147</v>
      </c>
      <c r="G306" t="s">
        <v>3046</v>
      </c>
      <c r="H306" t="s">
        <v>7353</v>
      </c>
      <c r="I306">
        <v>32.39</v>
      </c>
    </row>
    <row r="307" spans="1:9" ht="12.75">
      <c r="A307">
        <v>293</v>
      </c>
      <c r="B307" t="s">
        <v>7354</v>
      </c>
      <c r="C307" t="s">
        <v>2963</v>
      </c>
      <c r="D307" t="s">
        <v>2780</v>
      </c>
      <c r="E307" t="s">
        <v>2823</v>
      </c>
      <c r="F307" t="str">
        <f>"100/668"</f>
        <v>100/668</v>
      </c>
      <c r="G307" t="s">
        <v>2693</v>
      </c>
      <c r="H307" t="s">
        <v>7355</v>
      </c>
      <c r="I307">
        <v>32.39</v>
      </c>
    </row>
    <row r="308" spans="1:9" ht="12.75">
      <c r="A308">
        <v>294</v>
      </c>
      <c r="B308" t="s">
        <v>7165</v>
      </c>
      <c r="C308" t="s">
        <v>3008</v>
      </c>
      <c r="D308" t="s">
        <v>2780</v>
      </c>
      <c r="E308" t="s">
        <v>2781</v>
      </c>
      <c r="F308" t="str">
        <f>"94/354"</f>
        <v>94/354</v>
      </c>
      <c r="G308" t="s">
        <v>2243</v>
      </c>
      <c r="H308" t="s">
        <v>7356</v>
      </c>
      <c r="I308">
        <v>32.39</v>
      </c>
    </row>
    <row r="309" spans="1:9" ht="12.75">
      <c r="A309">
        <v>295</v>
      </c>
      <c r="B309" t="s">
        <v>7357</v>
      </c>
      <c r="C309" t="s">
        <v>749</v>
      </c>
      <c r="D309" t="s">
        <v>3031</v>
      </c>
      <c r="E309" t="s">
        <v>3032</v>
      </c>
      <c r="F309" t="str">
        <f>"4/25"</f>
        <v>4/25</v>
      </c>
      <c r="G309" t="s">
        <v>942</v>
      </c>
      <c r="H309" t="s">
        <v>7358</v>
      </c>
      <c r="I309">
        <v>32.39</v>
      </c>
    </row>
    <row r="310" spans="1:9" ht="12.75">
      <c r="A310">
        <v>296</v>
      </c>
      <c r="B310" t="s">
        <v>7359</v>
      </c>
      <c r="C310" t="s">
        <v>3205</v>
      </c>
      <c r="D310" t="s">
        <v>2780</v>
      </c>
      <c r="E310" t="s">
        <v>2818</v>
      </c>
      <c r="F310" t="str">
        <f>"27/380"</f>
        <v>27/380</v>
      </c>
      <c r="G310" t="s">
        <v>314</v>
      </c>
      <c r="H310" t="s">
        <v>7360</v>
      </c>
      <c r="I310">
        <v>32.38</v>
      </c>
    </row>
    <row r="311" spans="1:9" ht="12.75">
      <c r="A311">
        <v>297</v>
      </c>
      <c r="B311" t="s">
        <v>7361</v>
      </c>
      <c r="C311" t="s">
        <v>2914</v>
      </c>
      <c r="D311" t="s">
        <v>2780</v>
      </c>
      <c r="E311" t="s">
        <v>2799</v>
      </c>
      <c r="F311" t="str">
        <f>"32/100"</f>
        <v>32/100</v>
      </c>
      <c r="G311" t="s">
        <v>7362</v>
      </c>
      <c r="H311" t="s">
        <v>7363</v>
      </c>
      <c r="I311">
        <v>32.38</v>
      </c>
    </row>
    <row r="312" spans="1:9" ht="12.75">
      <c r="A312">
        <v>298</v>
      </c>
      <c r="B312" t="s">
        <v>7364</v>
      </c>
      <c r="C312" t="s">
        <v>2865</v>
      </c>
      <c r="D312" t="s">
        <v>2780</v>
      </c>
      <c r="E312" t="s">
        <v>2818</v>
      </c>
      <c r="F312" t="str">
        <f>"28/380"</f>
        <v>28/380</v>
      </c>
      <c r="G312" t="s">
        <v>566</v>
      </c>
      <c r="H312" t="s">
        <v>7365</v>
      </c>
      <c r="I312">
        <v>32.38</v>
      </c>
    </row>
    <row r="313" spans="1:9" ht="12.75">
      <c r="A313">
        <v>299</v>
      </c>
      <c r="B313" t="s">
        <v>7366</v>
      </c>
      <c r="C313" t="s">
        <v>2807</v>
      </c>
      <c r="D313" t="s">
        <v>2780</v>
      </c>
      <c r="E313" t="s">
        <v>2799</v>
      </c>
      <c r="F313" t="str">
        <f>"33/100"</f>
        <v>33/100</v>
      </c>
      <c r="G313" t="s">
        <v>59</v>
      </c>
      <c r="H313" t="s">
        <v>7367</v>
      </c>
      <c r="I313">
        <v>32.37</v>
      </c>
    </row>
    <row r="314" spans="1:9" ht="12.75">
      <c r="A314">
        <v>300</v>
      </c>
      <c r="B314" t="s">
        <v>7368</v>
      </c>
      <c r="C314" t="s">
        <v>3174</v>
      </c>
      <c r="D314" t="s">
        <v>2780</v>
      </c>
      <c r="E314" t="s">
        <v>2823</v>
      </c>
      <c r="F314" t="str">
        <f>"101/668"</f>
        <v>101/668</v>
      </c>
      <c r="G314" t="s">
        <v>4882</v>
      </c>
      <c r="H314" t="s">
        <v>7369</v>
      </c>
      <c r="I314">
        <v>32.36</v>
      </c>
    </row>
    <row r="315" spans="1:9" ht="12.75">
      <c r="A315">
        <v>301</v>
      </c>
      <c r="B315" t="s">
        <v>4988</v>
      </c>
      <c r="C315" t="s">
        <v>7370</v>
      </c>
      <c r="D315" t="s">
        <v>2780</v>
      </c>
      <c r="E315" t="s">
        <v>2823</v>
      </c>
      <c r="F315" t="str">
        <f>"102/668"</f>
        <v>102/668</v>
      </c>
      <c r="G315" t="s">
        <v>2889</v>
      </c>
      <c r="H315" t="s">
        <v>7371</v>
      </c>
      <c r="I315">
        <v>32.35</v>
      </c>
    </row>
    <row r="316" spans="1:9" ht="12.75">
      <c r="A316">
        <v>302</v>
      </c>
      <c r="B316" t="s">
        <v>7372</v>
      </c>
      <c r="C316" t="s">
        <v>5422</v>
      </c>
      <c r="D316" t="s">
        <v>2780</v>
      </c>
      <c r="E316" t="s">
        <v>2799</v>
      </c>
      <c r="F316" t="str">
        <f>"34/100"</f>
        <v>34/100</v>
      </c>
      <c r="G316" t="s">
        <v>3206</v>
      </c>
      <c r="H316" t="s">
        <v>7373</v>
      </c>
      <c r="I316">
        <v>32.35</v>
      </c>
    </row>
    <row r="317" spans="1:9" ht="12.75">
      <c r="A317">
        <v>303</v>
      </c>
      <c r="B317" t="s">
        <v>3216</v>
      </c>
      <c r="C317" t="s">
        <v>3098</v>
      </c>
      <c r="D317" t="s">
        <v>2780</v>
      </c>
      <c r="E317" t="s">
        <v>2781</v>
      </c>
      <c r="F317" t="str">
        <f>"95/354"</f>
        <v>95/354</v>
      </c>
      <c r="G317" t="s">
        <v>3060</v>
      </c>
      <c r="H317" t="s">
        <v>7374</v>
      </c>
      <c r="I317">
        <v>32.34</v>
      </c>
    </row>
    <row r="318" spans="1:9" ht="12.75">
      <c r="A318">
        <v>304</v>
      </c>
      <c r="B318" t="s">
        <v>7375</v>
      </c>
      <c r="C318" t="s">
        <v>2895</v>
      </c>
      <c r="D318" t="s">
        <v>2780</v>
      </c>
      <c r="E318" t="s">
        <v>2823</v>
      </c>
      <c r="F318" t="str">
        <f>"103/668"</f>
        <v>103/668</v>
      </c>
      <c r="G318" t="s">
        <v>302</v>
      </c>
      <c r="H318" t="s">
        <v>7376</v>
      </c>
      <c r="I318">
        <v>32.34</v>
      </c>
    </row>
    <row r="319" spans="1:9" ht="12.75">
      <c r="A319">
        <v>305</v>
      </c>
      <c r="B319" t="s">
        <v>7377</v>
      </c>
      <c r="C319" t="s">
        <v>3087</v>
      </c>
      <c r="D319" t="s">
        <v>2780</v>
      </c>
      <c r="E319" t="s">
        <v>2823</v>
      </c>
      <c r="F319" t="str">
        <f>"104/668"</f>
        <v>104/668</v>
      </c>
      <c r="G319" t="s">
        <v>2920</v>
      </c>
      <c r="H319" t="s">
        <v>7378</v>
      </c>
      <c r="I319">
        <v>32.33</v>
      </c>
    </row>
    <row r="320" spans="1:9" ht="12.75">
      <c r="A320">
        <v>306</v>
      </c>
      <c r="B320" t="s">
        <v>5555</v>
      </c>
      <c r="C320" t="s">
        <v>660</v>
      </c>
      <c r="D320" t="s">
        <v>2780</v>
      </c>
      <c r="E320" t="s">
        <v>2799</v>
      </c>
      <c r="F320" t="str">
        <f>"35/100"</f>
        <v>35/100</v>
      </c>
      <c r="G320" t="s">
        <v>7379</v>
      </c>
      <c r="H320" t="s">
        <v>7380</v>
      </c>
      <c r="I320">
        <v>32.32</v>
      </c>
    </row>
    <row r="321" spans="1:9" ht="12.75">
      <c r="A321">
        <v>307</v>
      </c>
      <c r="B321" t="s">
        <v>1041</v>
      </c>
      <c r="C321" t="s">
        <v>7381</v>
      </c>
      <c r="D321" t="s">
        <v>2780</v>
      </c>
      <c r="E321" t="s">
        <v>2823</v>
      </c>
      <c r="F321" t="str">
        <f>"105/668"</f>
        <v>105/668</v>
      </c>
      <c r="G321" t="s">
        <v>3535</v>
      </c>
      <c r="H321" t="s">
        <v>7382</v>
      </c>
      <c r="I321">
        <v>32.31</v>
      </c>
    </row>
    <row r="322" spans="1:9" ht="12.75">
      <c r="A322">
        <v>308</v>
      </c>
      <c r="B322" t="s">
        <v>7383</v>
      </c>
      <c r="C322" t="s">
        <v>700</v>
      </c>
      <c r="D322" t="s">
        <v>2780</v>
      </c>
      <c r="E322" t="s">
        <v>2781</v>
      </c>
      <c r="F322" t="str">
        <f>"96/354"</f>
        <v>96/354</v>
      </c>
      <c r="G322" t="s">
        <v>7379</v>
      </c>
      <c r="H322" t="s">
        <v>7384</v>
      </c>
      <c r="I322">
        <v>32.3</v>
      </c>
    </row>
    <row r="323" spans="1:9" ht="12.75">
      <c r="A323">
        <v>309</v>
      </c>
      <c r="B323" t="s">
        <v>7385</v>
      </c>
      <c r="C323" t="s">
        <v>43</v>
      </c>
      <c r="D323" t="s">
        <v>2780</v>
      </c>
      <c r="E323" t="s">
        <v>2781</v>
      </c>
      <c r="F323" t="str">
        <f>"97/354"</f>
        <v>97/354</v>
      </c>
      <c r="G323" t="s">
        <v>3555</v>
      </c>
      <c r="H323" t="s">
        <v>7386</v>
      </c>
      <c r="I323">
        <v>32.3</v>
      </c>
    </row>
    <row r="324" spans="1:9" ht="12.75">
      <c r="A324">
        <v>310</v>
      </c>
      <c r="B324" t="s">
        <v>1821</v>
      </c>
      <c r="C324" t="s">
        <v>2951</v>
      </c>
      <c r="D324" t="s">
        <v>2780</v>
      </c>
      <c r="E324" t="s">
        <v>2781</v>
      </c>
      <c r="F324" t="str">
        <f>"98/354"</f>
        <v>98/354</v>
      </c>
      <c r="G324" t="s">
        <v>3067</v>
      </c>
      <c r="H324" t="s">
        <v>7387</v>
      </c>
      <c r="I324">
        <v>32.3</v>
      </c>
    </row>
    <row r="325" spans="1:9" ht="12.75">
      <c r="A325">
        <v>311</v>
      </c>
      <c r="B325" t="s">
        <v>7388</v>
      </c>
      <c r="C325" t="s">
        <v>3594</v>
      </c>
      <c r="D325" t="s">
        <v>2780</v>
      </c>
      <c r="E325" t="s">
        <v>2818</v>
      </c>
      <c r="F325" t="str">
        <f>"29/380"</f>
        <v>29/380</v>
      </c>
      <c r="G325" t="s">
        <v>1086</v>
      </c>
      <c r="H325" t="s">
        <v>7389</v>
      </c>
      <c r="I325">
        <v>32.29</v>
      </c>
    </row>
    <row r="326" spans="1:9" ht="12.75">
      <c r="A326">
        <v>312</v>
      </c>
      <c r="B326" t="s">
        <v>7390</v>
      </c>
      <c r="C326" t="s">
        <v>3141</v>
      </c>
      <c r="D326" t="s">
        <v>2780</v>
      </c>
      <c r="E326" t="s">
        <v>2823</v>
      </c>
      <c r="F326" t="str">
        <f>"106/668"</f>
        <v>106/668</v>
      </c>
      <c r="G326" t="s">
        <v>446</v>
      </c>
      <c r="H326" t="s">
        <v>7391</v>
      </c>
      <c r="I326">
        <v>32.28</v>
      </c>
    </row>
    <row r="327" spans="1:9" ht="12.75">
      <c r="A327">
        <v>313</v>
      </c>
      <c r="B327" t="s">
        <v>7392</v>
      </c>
      <c r="C327" t="s">
        <v>2865</v>
      </c>
      <c r="D327" t="s">
        <v>2780</v>
      </c>
      <c r="E327" t="s">
        <v>2823</v>
      </c>
      <c r="F327" t="str">
        <f>"107/668"</f>
        <v>107/668</v>
      </c>
      <c r="G327" t="s">
        <v>2804</v>
      </c>
      <c r="H327" t="s">
        <v>7393</v>
      </c>
      <c r="I327">
        <v>32.28</v>
      </c>
    </row>
    <row r="328" spans="1:9" ht="12.75">
      <c r="A328">
        <v>314</v>
      </c>
      <c r="B328" t="s">
        <v>3572</v>
      </c>
      <c r="C328" t="s">
        <v>2931</v>
      </c>
      <c r="D328" t="s">
        <v>2780</v>
      </c>
      <c r="E328" t="s">
        <v>2823</v>
      </c>
      <c r="F328" t="str">
        <f>"108/668"</f>
        <v>108/668</v>
      </c>
      <c r="G328" t="s">
        <v>3011</v>
      </c>
      <c r="H328" t="s">
        <v>7394</v>
      </c>
      <c r="I328">
        <v>32.27</v>
      </c>
    </row>
    <row r="329" spans="1:9" ht="12.75">
      <c r="A329">
        <v>315</v>
      </c>
      <c r="B329" t="s">
        <v>2057</v>
      </c>
      <c r="C329" t="s">
        <v>3464</v>
      </c>
      <c r="D329" t="s">
        <v>2780</v>
      </c>
      <c r="E329" t="s">
        <v>2781</v>
      </c>
      <c r="F329" t="str">
        <f>"99/354"</f>
        <v>99/354</v>
      </c>
      <c r="G329" t="s">
        <v>3206</v>
      </c>
      <c r="H329" t="s">
        <v>7395</v>
      </c>
      <c r="I329">
        <v>32.27</v>
      </c>
    </row>
    <row r="330" spans="1:9" ht="12.75">
      <c r="A330">
        <v>316</v>
      </c>
      <c r="B330" t="s">
        <v>7396</v>
      </c>
      <c r="C330" t="s">
        <v>504</v>
      </c>
      <c r="D330" t="s">
        <v>2780</v>
      </c>
      <c r="E330" t="s">
        <v>2823</v>
      </c>
      <c r="F330" t="str">
        <f>"109/668"</f>
        <v>109/668</v>
      </c>
      <c r="G330" t="s">
        <v>3206</v>
      </c>
      <c r="H330" t="s">
        <v>7397</v>
      </c>
      <c r="I330">
        <v>32.26</v>
      </c>
    </row>
    <row r="331" spans="1:9" ht="12.75">
      <c r="A331">
        <v>317</v>
      </c>
      <c r="B331" t="s">
        <v>7398</v>
      </c>
      <c r="C331" t="s">
        <v>2814</v>
      </c>
      <c r="D331" t="s">
        <v>2780</v>
      </c>
      <c r="E331" t="s">
        <v>2823</v>
      </c>
      <c r="F331" t="str">
        <f>"110/668"</f>
        <v>110/668</v>
      </c>
      <c r="G331" t="s">
        <v>3587</v>
      </c>
      <c r="H331" t="s">
        <v>7399</v>
      </c>
      <c r="I331">
        <v>32.26</v>
      </c>
    </row>
    <row r="332" spans="1:9" ht="12.75">
      <c r="A332">
        <v>318</v>
      </c>
      <c r="B332" t="s">
        <v>7400</v>
      </c>
      <c r="C332" t="s">
        <v>7401</v>
      </c>
      <c r="D332" t="s">
        <v>2780</v>
      </c>
      <c r="E332" t="s">
        <v>2818</v>
      </c>
      <c r="F332" t="str">
        <f>"30/380"</f>
        <v>30/380</v>
      </c>
      <c r="G332" t="s">
        <v>7402</v>
      </c>
      <c r="H332" t="s">
        <v>7403</v>
      </c>
      <c r="I332">
        <v>32.26</v>
      </c>
    </row>
    <row r="333" spans="1:9" ht="12.75">
      <c r="A333">
        <v>319</v>
      </c>
      <c r="B333" t="s">
        <v>2965</v>
      </c>
      <c r="C333" t="s">
        <v>2857</v>
      </c>
      <c r="D333" t="s">
        <v>2780</v>
      </c>
      <c r="E333" t="s">
        <v>2818</v>
      </c>
      <c r="F333" t="str">
        <f>"31/380"</f>
        <v>31/380</v>
      </c>
      <c r="G333" t="s">
        <v>5502</v>
      </c>
      <c r="H333" t="s">
        <v>7404</v>
      </c>
      <c r="I333">
        <v>32.26</v>
      </c>
    </row>
    <row r="334" spans="1:9" ht="12.75">
      <c r="A334">
        <v>320</v>
      </c>
      <c r="B334" t="s">
        <v>7405</v>
      </c>
      <c r="C334" t="s">
        <v>2865</v>
      </c>
      <c r="D334" t="s">
        <v>2780</v>
      </c>
      <c r="E334" t="s">
        <v>2781</v>
      </c>
      <c r="F334" t="str">
        <f>"100/354"</f>
        <v>100/354</v>
      </c>
      <c r="G334" t="s">
        <v>7406</v>
      </c>
      <c r="H334" t="s">
        <v>7407</v>
      </c>
      <c r="I334">
        <v>32.26</v>
      </c>
    </row>
    <row r="335" spans="1:9" ht="12.75">
      <c r="A335">
        <v>321</v>
      </c>
      <c r="B335" t="s">
        <v>7408</v>
      </c>
      <c r="C335" t="s">
        <v>3286</v>
      </c>
      <c r="D335" t="s">
        <v>2780</v>
      </c>
      <c r="E335" t="s">
        <v>2823</v>
      </c>
      <c r="F335" t="str">
        <f>"111/668"</f>
        <v>111/668</v>
      </c>
      <c r="G335" t="s">
        <v>294</v>
      </c>
      <c r="H335" t="s">
        <v>7409</v>
      </c>
      <c r="I335">
        <v>32.25</v>
      </c>
    </row>
    <row r="336" spans="1:9" ht="12.75">
      <c r="A336">
        <v>322</v>
      </c>
      <c r="B336" t="s">
        <v>356</v>
      </c>
      <c r="C336" t="s">
        <v>7410</v>
      </c>
      <c r="D336" t="s">
        <v>2780</v>
      </c>
      <c r="E336" t="s">
        <v>2823</v>
      </c>
      <c r="F336" t="str">
        <f>"112/668"</f>
        <v>112/668</v>
      </c>
      <c r="G336" t="s">
        <v>3289</v>
      </c>
      <c r="H336" t="s">
        <v>7411</v>
      </c>
      <c r="I336">
        <v>32.25</v>
      </c>
    </row>
    <row r="337" spans="1:9" ht="12.75">
      <c r="A337">
        <v>323</v>
      </c>
      <c r="B337" t="s">
        <v>7412</v>
      </c>
      <c r="C337" t="s">
        <v>4894</v>
      </c>
      <c r="D337" t="s">
        <v>2780</v>
      </c>
      <c r="E337" t="s">
        <v>2823</v>
      </c>
      <c r="F337" t="str">
        <f>"113/668"</f>
        <v>113/668</v>
      </c>
      <c r="G337" t="s">
        <v>1791</v>
      </c>
      <c r="H337" t="s">
        <v>7413</v>
      </c>
      <c r="I337">
        <v>32.24</v>
      </c>
    </row>
    <row r="338" spans="1:9" ht="12.75">
      <c r="A338">
        <v>324</v>
      </c>
      <c r="B338" t="s">
        <v>5162</v>
      </c>
      <c r="C338" t="s">
        <v>3164</v>
      </c>
      <c r="D338" t="s">
        <v>2780</v>
      </c>
      <c r="E338" t="s">
        <v>2823</v>
      </c>
      <c r="F338" t="str">
        <f>"114/668"</f>
        <v>114/668</v>
      </c>
      <c r="G338" t="s">
        <v>314</v>
      </c>
      <c r="H338" t="s">
        <v>7414</v>
      </c>
      <c r="I338">
        <v>32.23</v>
      </c>
    </row>
    <row r="339" spans="1:9" ht="12.75">
      <c r="A339">
        <v>325</v>
      </c>
      <c r="B339" t="s">
        <v>3105</v>
      </c>
      <c r="C339" t="s">
        <v>3633</v>
      </c>
      <c r="D339" t="s">
        <v>2780</v>
      </c>
      <c r="E339" t="s">
        <v>2781</v>
      </c>
      <c r="F339" t="str">
        <f>"101/354"</f>
        <v>101/354</v>
      </c>
      <c r="G339" t="s">
        <v>7415</v>
      </c>
      <c r="H339" t="s">
        <v>7416</v>
      </c>
      <c r="I339">
        <v>32.2</v>
      </c>
    </row>
    <row r="340" spans="1:9" ht="12.75">
      <c r="A340">
        <v>326</v>
      </c>
      <c r="B340" t="s">
        <v>7417</v>
      </c>
      <c r="C340" t="s">
        <v>2865</v>
      </c>
      <c r="D340" t="s">
        <v>2780</v>
      </c>
      <c r="E340" t="s">
        <v>2823</v>
      </c>
      <c r="F340" t="str">
        <f>"115/668"</f>
        <v>115/668</v>
      </c>
      <c r="G340" t="s">
        <v>3018</v>
      </c>
      <c r="H340" t="s">
        <v>7418</v>
      </c>
      <c r="I340">
        <v>32.18</v>
      </c>
    </row>
    <row r="341" spans="1:9" ht="12.75">
      <c r="A341">
        <v>327</v>
      </c>
      <c r="B341" t="s">
        <v>6994</v>
      </c>
      <c r="C341" t="s">
        <v>4894</v>
      </c>
      <c r="D341" t="s">
        <v>2780</v>
      </c>
      <c r="E341" t="s">
        <v>2781</v>
      </c>
      <c r="F341" t="str">
        <f>"102/354"</f>
        <v>102/354</v>
      </c>
      <c r="G341" t="s">
        <v>7419</v>
      </c>
      <c r="H341" t="s">
        <v>7420</v>
      </c>
      <c r="I341">
        <v>32.17</v>
      </c>
    </row>
    <row r="342" spans="1:9" ht="12.75">
      <c r="A342">
        <v>328</v>
      </c>
      <c r="B342" t="s">
        <v>7421</v>
      </c>
      <c r="C342" t="s">
        <v>2868</v>
      </c>
      <c r="D342" t="s">
        <v>2780</v>
      </c>
      <c r="E342" t="s">
        <v>2823</v>
      </c>
      <c r="F342" t="str">
        <f>"116/668"</f>
        <v>116/668</v>
      </c>
      <c r="G342" t="s">
        <v>563</v>
      </c>
      <c r="H342" t="s">
        <v>7422</v>
      </c>
      <c r="I342">
        <v>32.17</v>
      </c>
    </row>
    <row r="343" spans="1:9" ht="12.75">
      <c r="A343">
        <v>329</v>
      </c>
      <c r="B343" t="s">
        <v>7423</v>
      </c>
      <c r="C343" t="s">
        <v>2836</v>
      </c>
      <c r="D343" t="s">
        <v>2780</v>
      </c>
      <c r="E343" t="s">
        <v>2786</v>
      </c>
      <c r="F343" t="str">
        <f>"18/44"</f>
        <v>18/44</v>
      </c>
      <c r="G343" t="s">
        <v>3516</v>
      </c>
      <c r="H343" t="s">
        <v>7424</v>
      </c>
      <c r="I343">
        <v>32.17</v>
      </c>
    </row>
    <row r="344" spans="1:9" ht="12.75">
      <c r="A344">
        <v>330</v>
      </c>
      <c r="B344" t="s">
        <v>992</v>
      </c>
      <c r="C344" t="s">
        <v>5505</v>
      </c>
      <c r="D344" t="s">
        <v>2780</v>
      </c>
      <c r="E344" t="s">
        <v>2823</v>
      </c>
      <c r="F344" t="str">
        <f>"117/668"</f>
        <v>117/668</v>
      </c>
      <c r="G344" t="s">
        <v>3176</v>
      </c>
      <c r="H344" t="s">
        <v>7425</v>
      </c>
      <c r="I344">
        <v>32.16</v>
      </c>
    </row>
    <row r="345" spans="1:9" ht="12.75">
      <c r="A345">
        <v>331</v>
      </c>
      <c r="B345" t="s">
        <v>7426</v>
      </c>
      <c r="C345" t="s">
        <v>2868</v>
      </c>
      <c r="D345" t="s">
        <v>2780</v>
      </c>
      <c r="E345" t="s">
        <v>2818</v>
      </c>
      <c r="F345" t="str">
        <f>"32/380"</f>
        <v>32/380</v>
      </c>
      <c r="G345" t="s">
        <v>2693</v>
      </c>
      <c r="H345" t="s">
        <v>7427</v>
      </c>
      <c r="I345">
        <v>32.14</v>
      </c>
    </row>
    <row r="346" spans="1:9" ht="12.75">
      <c r="A346">
        <v>332</v>
      </c>
      <c r="B346" t="s">
        <v>7428</v>
      </c>
      <c r="C346" t="s">
        <v>2865</v>
      </c>
      <c r="D346" t="s">
        <v>2780</v>
      </c>
      <c r="E346" t="s">
        <v>2823</v>
      </c>
      <c r="F346" t="str">
        <f>"118/668"</f>
        <v>118/668</v>
      </c>
      <c r="G346" t="s">
        <v>5498</v>
      </c>
      <c r="H346" t="s">
        <v>7429</v>
      </c>
      <c r="I346">
        <v>32.09</v>
      </c>
    </row>
    <row r="347" spans="1:9" ht="12.75">
      <c r="A347">
        <v>333</v>
      </c>
      <c r="B347" t="s">
        <v>2632</v>
      </c>
      <c r="C347" t="s">
        <v>54</v>
      </c>
      <c r="D347" t="s">
        <v>2780</v>
      </c>
      <c r="E347" t="s">
        <v>2973</v>
      </c>
      <c r="F347" t="str">
        <f>"6/147"</f>
        <v>6/147</v>
      </c>
      <c r="G347" t="s">
        <v>59</v>
      </c>
      <c r="H347" t="s">
        <v>7430</v>
      </c>
      <c r="I347">
        <v>32.09</v>
      </c>
    </row>
    <row r="348" spans="1:9" ht="12.75">
      <c r="A348">
        <v>334</v>
      </c>
      <c r="B348" t="s">
        <v>7431</v>
      </c>
      <c r="C348" t="s">
        <v>2966</v>
      </c>
      <c r="D348" t="s">
        <v>2780</v>
      </c>
      <c r="E348" t="s">
        <v>2781</v>
      </c>
      <c r="F348" t="str">
        <f>"103/354"</f>
        <v>103/354</v>
      </c>
      <c r="G348" t="s">
        <v>57</v>
      </c>
      <c r="H348" t="s">
        <v>7432</v>
      </c>
      <c r="I348">
        <v>32.09</v>
      </c>
    </row>
    <row r="349" spans="1:9" ht="12.75">
      <c r="A349">
        <v>335</v>
      </c>
      <c r="B349" t="s">
        <v>7433</v>
      </c>
      <c r="C349" t="s">
        <v>2807</v>
      </c>
      <c r="D349" t="s">
        <v>2780</v>
      </c>
      <c r="E349" t="s">
        <v>2823</v>
      </c>
      <c r="F349" t="str">
        <f>"119/668"</f>
        <v>119/668</v>
      </c>
      <c r="G349" t="s">
        <v>7127</v>
      </c>
      <c r="H349" t="s">
        <v>7434</v>
      </c>
      <c r="I349">
        <v>32.08</v>
      </c>
    </row>
    <row r="350" spans="1:9" ht="12.75">
      <c r="A350">
        <v>336</v>
      </c>
      <c r="B350" t="s">
        <v>7435</v>
      </c>
      <c r="C350" t="s">
        <v>504</v>
      </c>
      <c r="D350" t="s">
        <v>2780</v>
      </c>
      <c r="E350" t="s">
        <v>2786</v>
      </c>
      <c r="F350" t="str">
        <f>"19/44"</f>
        <v>19/44</v>
      </c>
      <c r="G350" t="s">
        <v>3338</v>
      </c>
      <c r="H350" t="s">
        <v>7436</v>
      </c>
      <c r="I350">
        <v>32.06</v>
      </c>
    </row>
    <row r="351" spans="1:9" ht="12.75">
      <c r="A351">
        <v>337</v>
      </c>
      <c r="B351" t="s">
        <v>7437</v>
      </c>
      <c r="C351" t="s">
        <v>3464</v>
      </c>
      <c r="D351" t="s">
        <v>2780</v>
      </c>
      <c r="E351" t="s">
        <v>2818</v>
      </c>
      <c r="F351" t="str">
        <f>"33/380"</f>
        <v>33/380</v>
      </c>
      <c r="G351" t="s">
        <v>7438</v>
      </c>
      <c r="H351" t="s">
        <v>7439</v>
      </c>
      <c r="I351">
        <v>32.05</v>
      </c>
    </row>
    <row r="352" spans="1:9" ht="12.75">
      <c r="A352">
        <v>338</v>
      </c>
      <c r="B352" t="s">
        <v>7440</v>
      </c>
      <c r="C352" t="s">
        <v>2810</v>
      </c>
      <c r="D352" t="s">
        <v>2780</v>
      </c>
      <c r="E352" t="s">
        <v>2799</v>
      </c>
      <c r="F352" t="str">
        <f>"36/100"</f>
        <v>36/100</v>
      </c>
      <c r="G352" t="s">
        <v>3011</v>
      </c>
      <c r="H352" t="s">
        <v>7441</v>
      </c>
      <c r="I352">
        <v>32.04</v>
      </c>
    </row>
    <row r="353" spans="1:9" ht="12.75">
      <c r="A353">
        <v>339</v>
      </c>
      <c r="B353" t="s">
        <v>7442</v>
      </c>
      <c r="C353" t="s">
        <v>3438</v>
      </c>
      <c r="D353" t="s">
        <v>2780</v>
      </c>
      <c r="E353" t="s">
        <v>2823</v>
      </c>
      <c r="F353" t="str">
        <f>"120/668"</f>
        <v>120/668</v>
      </c>
      <c r="G353" t="s">
        <v>3261</v>
      </c>
      <c r="H353" t="s">
        <v>7443</v>
      </c>
      <c r="I353">
        <v>32.04</v>
      </c>
    </row>
    <row r="354" spans="1:9" ht="12.75">
      <c r="A354">
        <v>340</v>
      </c>
      <c r="B354" t="s">
        <v>7444</v>
      </c>
      <c r="C354" t="s">
        <v>2857</v>
      </c>
      <c r="D354" t="s">
        <v>2780</v>
      </c>
      <c r="E354" t="s">
        <v>2823</v>
      </c>
      <c r="F354" t="str">
        <f>"121/668"</f>
        <v>121/668</v>
      </c>
      <c r="G354" t="s">
        <v>7445</v>
      </c>
      <c r="H354" t="s">
        <v>7443</v>
      </c>
      <c r="I354">
        <v>32.04</v>
      </c>
    </row>
    <row r="355" spans="1:9" ht="12.75">
      <c r="A355">
        <v>341</v>
      </c>
      <c r="B355" t="s">
        <v>7446</v>
      </c>
      <c r="C355" t="s">
        <v>3087</v>
      </c>
      <c r="D355" t="s">
        <v>2780</v>
      </c>
      <c r="E355" t="s">
        <v>2973</v>
      </c>
      <c r="F355" t="str">
        <f>"7/147"</f>
        <v>7/147</v>
      </c>
      <c r="G355" t="s">
        <v>7263</v>
      </c>
      <c r="H355" t="s">
        <v>7447</v>
      </c>
      <c r="I355">
        <v>32.04</v>
      </c>
    </row>
    <row r="356" spans="1:9" ht="12.75">
      <c r="A356">
        <v>342</v>
      </c>
      <c r="B356" t="s">
        <v>7448</v>
      </c>
      <c r="C356" t="s">
        <v>195</v>
      </c>
      <c r="D356" t="s">
        <v>2780</v>
      </c>
      <c r="E356" t="s">
        <v>2799</v>
      </c>
      <c r="F356" t="str">
        <f>"37/100"</f>
        <v>37/100</v>
      </c>
      <c r="G356" t="s">
        <v>3603</v>
      </c>
      <c r="H356" t="s">
        <v>7449</v>
      </c>
      <c r="I356">
        <v>32.04</v>
      </c>
    </row>
    <row r="357" spans="1:9" ht="12.75">
      <c r="A357">
        <v>343</v>
      </c>
      <c r="B357" t="s">
        <v>7450</v>
      </c>
      <c r="C357" t="s">
        <v>2836</v>
      </c>
      <c r="D357" t="s">
        <v>2780</v>
      </c>
      <c r="E357" t="s">
        <v>2818</v>
      </c>
      <c r="F357" t="str">
        <f>"34/380"</f>
        <v>34/380</v>
      </c>
      <c r="G357" t="s">
        <v>3555</v>
      </c>
      <c r="H357" t="s">
        <v>7451</v>
      </c>
      <c r="I357">
        <v>32.03</v>
      </c>
    </row>
    <row r="358" spans="1:9" ht="12.75">
      <c r="A358">
        <v>344</v>
      </c>
      <c r="B358" t="s">
        <v>7452</v>
      </c>
      <c r="C358" t="s">
        <v>3147</v>
      </c>
      <c r="D358" t="s">
        <v>2780</v>
      </c>
      <c r="E358" t="s">
        <v>2818</v>
      </c>
      <c r="F358" t="str">
        <f>"35/380"</f>
        <v>35/380</v>
      </c>
      <c r="G358" t="s">
        <v>59</v>
      </c>
      <c r="H358" t="s">
        <v>7453</v>
      </c>
      <c r="I358">
        <v>32.03</v>
      </c>
    </row>
    <row r="359" spans="1:9" ht="12.75">
      <c r="A359">
        <v>345</v>
      </c>
      <c r="B359" t="s">
        <v>1940</v>
      </c>
      <c r="C359" t="s">
        <v>2966</v>
      </c>
      <c r="D359" t="s">
        <v>2780</v>
      </c>
      <c r="E359" t="s">
        <v>2823</v>
      </c>
      <c r="F359" t="str">
        <f>"122/668"</f>
        <v>122/668</v>
      </c>
      <c r="G359" t="s">
        <v>855</v>
      </c>
      <c r="H359" t="s">
        <v>7454</v>
      </c>
      <c r="I359">
        <v>32.03</v>
      </c>
    </row>
    <row r="360" spans="1:9" ht="12.75">
      <c r="A360">
        <v>346</v>
      </c>
      <c r="B360" t="s">
        <v>7455</v>
      </c>
      <c r="C360" t="s">
        <v>3192</v>
      </c>
      <c r="D360" t="s">
        <v>2780</v>
      </c>
      <c r="E360" t="s">
        <v>2823</v>
      </c>
      <c r="F360" t="str">
        <f>"123/668"</f>
        <v>123/668</v>
      </c>
      <c r="G360" t="s">
        <v>3018</v>
      </c>
      <c r="H360" t="s">
        <v>7456</v>
      </c>
      <c r="I360">
        <v>32.03</v>
      </c>
    </row>
    <row r="361" spans="1:9" ht="12.75">
      <c r="A361">
        <v>347</v>
      </c>
      <c r="B361" t="s">
        <v>7457</v>
      </c>
      <c r="C361" t="s">
        <v>7458</v>
      </c>
      <c r="D361" t="s">
        <v>3031</v>
      </c>
      <c r="E361" t="s">
        <v>3244</v>
      </c>
      <c r="F361" t="str">
        <f>"3/40"</f>
        <v>3/40</v>
      </c>
      <c r="G361" t="s">
        <v>3206</v>
      </c>
      <c r="H361" t="s">
        <v>7459</v>
      </c>
      <c r="I361">
        <v>32.03</v>
      </c>
    </row>
    <row r="362" spans="1:9" ht="12.75">
      <c r="A362">
        <v>348</v>
      </c>
      <c r="B362" t="s">
        <v>7460</v>
      </c>
      <c r="C362" t="s">
        <v>3008</v>
      </c>
      <c r="D362" t="s">
        <v>2780</v>
      </c>
      <c r="E362" t="s">
        <v>2823</v>
      </c>
      <c r="F362" t="str">
        <f>"124/668"</f>
        <v>124/668</v>
      </c>
      <c r="G362" t="s">
        <v>3206</v>
      </c>
      <c r="H362" t="s">
        <v>7461</v>
      </c>
      <c r="I362">
        <v>32.03</v>
      </c>
    </row>
    <row r="363" spans="1:9" ht="12.75">
      <c r="A363">
        <v>349</v>
      </c>
      <c r="B363" t="s">
        <v>7462</v>
      </c>
      <c r="C363" t="s">
        <v>3164</v>
      </c>
      <c r="D363" t="s">
        <v>2780</v>
      </c>
      <c r="E363" t="s">
        <v>2818</v>
      </c>
      <c r="F363" t="str">
        <f>"36/380"</f>
        <v>36/380</v>
      </c>
      <c r="G363" t="s">
        <v>3206</v>
      </c>
      <c r="H363" t="s">
        <v>7463</v>
      </c>
      <c r="I363">
        <v>32.02</v>
      </c>
    </row>
    <row r="364" spans="1:9" ht="12.75">
      <c r="A364">
        <v>350</v>
      </c>
      <c r="B364" t="s">
        <v>7464</v>
      </c>
      <c r="C364" t="s">
        <v>2807</v>
      </c>
      <c r="D364" t="s">
        <v>2780</v>
      </c>
      <c r="E364" t="s">
        <v>2781</v>
      </c>
      <c r="F364" t="str">
        <f>"104/354"</f>
        <v>104/354</v>
      </c>
      <c r="G364" t="s">
        <v>7135</v>
      </c>
      <c r="H364" t="s">
        <v>7465</v>
      </c>
      <c r="I364">
        <v>32.01</v>
      </c>
    </row>
    <row r="365" spans="1:9" ht="12.75">
      <c r="A365">
        <v>351</v>
      </c>
      <c r="B365" t="s">
        <v>3136</v>
      </c>
      <c r="C365" t="s">
        <v>3286</v>
      </c>
      <c r="D365" t="s">
        <v>2780</v>
      </c>
      <c r="E365" t="s">
        <v>2823</v>
      </c>
      <c r="F365" t="str">
        <f>"125/668"</f>
        <v>125/668</v>
      </c>
      <c r="G365" t="s">
        <v>3018</v>
      </c>
      <c r="H365" t="s">
        <v>7465</v>
      </c>
      <c r="I365">
        <v>32.01</v>
      </c>
    </row>
    <row r="366" spans="1:9" ht="12.75">
      <c r="A366">
        <v>352</v>
      </c>
      <c r="B366" t="s">
        <v>7466</v>
      </c>
      <c r="C366" t="s">
        <v>2865</v>
      </c>
      <c r="D366" t="s">
        <v>2780</v>
      </c>
      <c r="E366" t="s">
        <v>2818</v>
      </c>
      <c r="F366" t="str">
        <f>"37/380"</f>
        <v>37/380</v>
      </c>
      <c r="G366" t="s">
        <v>3261</v>
      </c>
      <c r="H366" t="s">
        <v>7467</v>
      </c>
      <c r="I366">
        <v>32.01</v>
      </c>
    </row>
    <row r="367" spans="1:9" ht="12.75">
      <c r="A367">
        <v>353</v>
      </c>
      <c r="B367" t="s">
        <v>2150</v>
      </c>
      <c r="C367" t="s">
        <v>3114</v>
      </c>
      <c r="D367" t="s">
        <v>2780</v>
      </c>
      <c r="E367" t="s">
        <v>2823</v>
      </c>
      <c r="F367" t="str">
        <f>"126/668"</f>
        <v>126/668</v>
      </c>
      <c r="G367" t="s">
        <v>2055</v>
      </c>
      <c r="H367" t="s">
        <v>7468</v>
      </c>
      <c r="I367">
        <v>32</v>
      </c>
    </row>
    <row r="368" spans="1:9" ht="12.75">
      <c r="A368">
        <v>354</v>
      </c>
      <c r="B368" t="s">
        <v>7469</v>
      </c>
      <c r="C368" t="s">
        <v>2963</v>
      </c>
      <c r="D368" t="s">
        <v>2780</v>
      </c>
      <c r="E368" t="s">
        <v>2823</v>
      </c>
      <c r="F368" t="str">
        <f>"127/668"</f>
        <v>127/668</v>
      </c>
      <c r="G368" t="s">
        <v>2896</v>
      </c>
      <c r="H368" t="s">
        <v>7470</v>
      </c>
      <c r="I368">
        <v>32</v>
      </c>
    </row>
    <row r="369" spans="1:9" ht="12.75">
      <c r="A369">
        <v>355</v>
      </c>
      <c r="B369" t="s">
        <v>1148</v>
      </c>
      <c r="C369" t="s">
        <v>2865</v>
      </c>
      <c r="D369" t="s">
        <v>2780</v>
      </c>
      <c r="E369" t="s">
        <v>2781</v>
      </c>
      <c r="F369" t="str">
        <f>"105/354"</f>
        <v>105/354</v>
      </c>
      <c r="G369" t="s">
        <v>843</v>
      </c>
      <c r="H369" t="s">
        <v>7471</v>
      </c>
      <c r="I369">
        <v>31.98</v>
      </c>
    </row>
    <row r="370" spans="1:9" ht="12.75">
      <c r="A370">
        <v>356</v>
      </c>
      <c r="B370" t="s">
        <v>7472</v>
      </c>
      <c r="C370" t="s">
        <v>2807</v>
      </c>
      <c r="D370" t="s">
        <v>2780</v>
      </c>
      <c r="E370" t="s">
        <v>2823</v>
      </c>
      <c r="F370" t="str">
        <f>"128/668"</f>
        <v>128/668</v>
      </c>
      <c r="G370" t="s">
        <v>7473</v>
      </c>
      <c r="H370" t="s">
        <v>7474</v>
      </c>
      <c r="I370">
        <v>31.96</v>
      </c>
    </row>
    <row r="371" spans="1:9" ht="12.75">
      <c r="A371">
        <v>357</v>
      </c>
      <c r="B371" t="s">
        <v>7475</v>
      </c>
      <c r="C371" t="s">
        <v>2861</v>
      </c>
      <c r="D371" t="s">
        <v>2780</v>
      </c>
      <c r="E371" t="s">
        <v>2823</v>
      </c>
      <c r="F371" t="str">
        <f>"129/668"</f>
        <v>129/668</v>
      </c>
      <c r="G371" t="s">
        <v>3338</v>
      </c>
      <c r="H371" t="s">
        <v>7476</v>
      </c>
      <c r="I371">
        <v>31.96</v>
      </c>
    </row>
    <row r="372" spans="1:9" ht="12.75">
      <c r="A372">
        <v>358</v>
      </c>
      <c r="B372" t="s">
        <v>7477</v>
      </c>
      <c r="C372" t="s">
        <v>2814</v>
      </c>
      <c r="D372" t="s">
        <v>2780</v>
      </c>
      <c r="E372" t="s">
        <v>2781</v>
      </c>
      <c r="F372" t="str">
        <f>"106/354"</f>
        <v>106/354</v>
      </c>
      <c r="G372" t="s">
        <v>7478</v>
      </c>
      <c r="H372" t="s">
        <v>7479</v>
      </c>
      <c r="I372">
        <v>31.94</v>
      </c>
    </row>
    <row r="373" spans="1:9" ht="12.75">
      <c r="A373">
        <v>359</v>
      </c>
      <c r="B373" t="s">
        <v>7480</v>
      </c>
      <c r="C373" t="s">
        <v>2876</v>
      </c>
      <c r="D373" t="s">
        <v>2780</v>
      </c>
      <c r="E373" t="s">
        <v>2818</v>
      </c>
      <c r="F373" t="str">
        <f>"38/380"</f>
        <v>38/380</v>
      </c>
      <c r="G373" t="s">
        <v>1104</v>
      </c>
      <c r="H373" t="s">
        <v>7481</v>
      </c>
      <c r="I373">
        <v>31.93</v>
      </c>
    </row>
    <row r="374" spans="1:9" ht="12.75">
      <c r="A374">
        <v>360</v>
      </c>
      <c r="B374" t="s">
        <v>7482</v>
      </c>
      <c r="C374" t="s">
        <v>7483</v>
      </c>
      <c r="D374" t="s">
        <v>3031</v>
      </c>
      <c r="E374" t="s">
        <v>3244</v>
      </c>
      <c r="F374" t="str">
        <f>"4/40"</f>
        <v>4/40</v>
      </c>
      <c r="G374" t="s">
        <v>4882</v>
      </c>
      <c r="H374" t="s">
        <v>7484</v>
      </c>
      <c r="I374">
        <v>31.93</v>
      </c>
    </row>
    <row r="375" spans="1:9" ht="12.75">
      <c r="A375">
        <v>361</v>
      </c>
      <c r="B375" t="s">
        <v>7485</v>
      </c>
      <c r="C375" t="s">
        <v>868</v>
      </c>
      <c r="D375" t="s">
        <v>2780</v>
      </c>
      <c r="E375" t="s">
        <v>2818</v>
      </c>
      <c r="F375" t="str">
        <f>"39/380"</f>
        <v>39/380</v>
      </c>
      <c r="G375" t="s">
        <v>59</v>
      </c>
      <c r="H375" t="s">
        <v>7486</v>
      </c>
      <c r="I375">
        <v>31.93</v>
      </c>
    </row>
    <row r="376" spans="1:9" ht="12.75">
      <c r="A376">
        <v>362</v>
      </c>
      <c r="B376" t="s">
        <v>5538</v>
      </c>
      <c r="C376" t="s">
        <v>3141</v>
      </c>
      <c r="D376" t="s">
        <v>2780</v>
      </c>
      <c r="E376" t="s">
        <v>2781</v>
      </c>
      <c r="F376" t="str">
        <f>"107/354"</f>
        <v>107/354</v>
      </c>
      <c r="G376" t="s">
        <v>7487</v>
      </c>
      <c r="H376" t="s">
        <v>7488</v>
      </c>
      <c r="I376">
        <v>31.92</v>
      </c>
    </row>
    <row r="377" spans="1:9" ht="12.75">
      <c r="A377">
        <v>363</v>
      </c>
      <c r="B377" t="s">
        <v>7489</v>
      </c>
      <c r="C377" t="s">
        <v>2814</v>
      </c>
      <c r="D377" t="s">
        <v>2780</v>
      </c>
      <c r="E377" t="s">
        <v>2823</v>
      </c>
      <c r="F377" t="str">
        <f>"130/668"</f>
        <v>130/668</v>
      </c>
      <c r="G377" t="s">
        <v>1827</v>
      </c>
      <c r="H377" t="s">
        <v>7490</v>
      </c>
      <c r="I377">
        <v>31.91</v>
      </c>
    </row>
    <row r="378" spans="1:9" ht="12.75">
      <c r="A378">
        <v>364</v>
      </c>
      <c r="B378" t="s">
        <v>2978</v>
      </c>
      <c r="C378" t="s">
        <v>3057</v>
      </c>
      <c r="D378" t="s">
        <v>2780</v>
      </c>
      <c r="E378" t="s">
        <v>2823</v>
      </c>
      <c r="F378" t="str">
        <f>"131/668"</f>
        <v>131/668</v>
      </c>
      <c r="G378" t="s">
        <v>3555</v>
      </c>
      <c r="H378" t="s">
        <v>7491</v>
      </c>
      <c r="I378">
        <v>31.91</v>
      </c>
    </row>
    <row r="379" spans="1:9" ht="12.75">
      <c r="A379">
        <v>365</v>
      </c>
      <c r="B379" t="s">
        <v>7492</v>
      </c>
      <c r="C379" t="s">
        <v>2840</v>
      </c>
      <c r="D379" t="s">
        <v>2780</v>
      </c>
      <c r="E379" t="s">
        <v>2818</v>
      </c>
      <c r="F379" t="str">
        <f>"40/380"</f>
        <v>40/380</v>
      </c>
      <c r="G379" t="s">
        <v>942</v>
      </c>
      <c r="H379" t="s">
        <v>7493</v>
      </c>
      <c r="I379">
        <v>31.91</v>
      </c>
    </row>
    <row r="380" spans="1:9" ht="12.75">
      <c r="A380">
        <v>366</v>
      </c>
      <c r="B380" t="s">
        <v>7494</v>
      </c>
      <c r="C380" t="s">
        <v>2861</v>
      </c>
      <c r="D380" t="s">
        <v>2780</v>
      </c>
      <c r="E380" t="s">
        <v>2781</v>
      </c>
      <c r="F380" t="str">
        <f>"108/354"</f>
        <v>108/354</v>
      </c>
      <c r="G380" t="s">
        <v>999</v>
      </c>
      <c r="H380" t="s">
        <v>7495</v>
      </c>
      <c r="I380">
        <v>31.88</v>
      </c>
    </row>
    <row r="381" spans="1:9" ht="12.75">
      <c r="A381">
        <v>367</v>
      </c>
      <c r="B381" t="s">
        <v>7496</v>
      </c>
      <c r="C381" t="s">
        <v>2868</v>
      </c>
      <c r="D381" t="s">
        <v>2780</v>
      </c>
      <c r="E381" t="s">
        <v>2781</v>
      </c>
      <c r="F381" t="str">
        <f>"109/354"</f>
        <v>109/354</v>
      </c>
      <c r="G381" t="s">
        <v>7497</v>
      </c>
      <c r="H381" t="s">
        <v>7498</v>
      </c>
      <c r="I381">
        <v>31.87</v>
      </c>
    </row>
    <row r="382" spans="1:9" ht="12.75">
      <c r="A382">
        <v>368</v>
      </c>
      <c r="B382" t="s">
        <v>7499</v>
      </c>
      <c r="C382" t="s">
        <v>3286</v>
      </c>
      <c r="D382" t="s">
        <v>2780</v>
      </c>
      <c r="E382" t="s">
        <v>2818</v>
      </c>
      <c r="F382" t="str">
        <f>"41/380"</f>
        <v>41/380</v>
      </c>
      <c r="G382" t="s">
        <v>7500</v>
      </c>
      <c r="H382" t="s">
        <v>7501</v>
      </c>
      <c r="I382">
        <v>31.86</v>
      </c>
    </row>
    <row r="383" spans="1:9" ht="12.75">
      <c r="A383">
        <v>369</v>
      </c>
      <c r="B383" t="s">
        <v>7502</v>
      </c>
      <c r="C383" t="s">
        <v>2836</v>
      </c>
      <c r="D383" t="s">
        <v>2780</v>
      </c>
      <c r="E383" t="s">
        <v>2781</v>
      </c>
      <c r="F383" t="str">
        <f>"110/354"</f>
        <v>110/354</v>
      </c>
      <c r="G383" t="s">
        <v>4882</v>
      </c>
      <c r="H383" t="s">
        <v>7503</v>
      </c>
      <c r="I383">
        <v>31.86</v>
      </c>
    </row>
    <row r="384" spans="1:9" ht="12.75">
      <c r="A384">
        <v>370</v>
      </c>
      <c r="B384" t="s">
        <v>7504</v>
      </c>
      <c r="C384" t="s">
        <v>2807</v>
      </c>
      <c r="D384" t="s">
        <v>2780</v>
      </c>
      <c r="E384" t="s">
        <v>2823</v>
      </c>
      <c r="F384" t="str">
        <f>"132/668"</f>
        <v>132/668</v>
      </c>
      <c r="G384" t="s">
        <v>3088</v>
      </c>
      <c r="H384" t="s">
        <v>7505</v>
      </c>
      <c r="I384">
        <v>31.86</v>
      </c>
    </row>
    <row r="385" spans="1:9" ht="12.75">
      <c r="A385">
        <v>371</v>
      </c>
      <c r="B385" t="s">
        <v>7506</v>
      </c>
      <c r="C385" t="s">
        <v>2865</v>
      </c>
      <c r="D385" t="s">
        <v>2780</v>
      </c>
      <c r="E385" t="s">
        <v>2823</v>
      </c>
      <c r="F385" t="str">
        <f>"133/668"</f>
        <v>133/668</v>
      </c>
      <c r="G385" t="s">
        <v>18</v>
      </c>
      <c r="H385" t="s">
        <v>7507</v>
      </c>
      <c r="I385">
        <v>31.86</v>
      </c>
    </row>
    <row r="386" spans="1:9" ht="12.75">
      <c r="A386">
        <v>372</v>
      </c>
      <c r="B386" t="s">
        <v>7508</v>
      </c>
      <c r="C386" t="s">
        <v>2861</v>
      </c>
      <c r="D386" t="s">
        <v>2780</v>
      </c>
      <c r="E386" t="s">
        <v>2973</v>
      </c>
      <c r="F386" t="str">
        <f>"8/147"</f>
        <v>8/147</v>
      </c>
      <c r="G386" t="s">
        <v>7509</v>
      </c>
      <c r="H386" t="s">
        <v>7510</v>
      </c>
      <c r="I386">
        <v>31.85</v>
      </c>
    </row>
    <row r="387" spans="1:9" ht="12.75">
      <c r="A387">
        <v>373</v>
      </c>
      <c r="B387" t="s">
        <v>7511</v>
      </c>
      <c r="C387" t="s">
        <v>3464</v>
      </c>
      <c r="D387" t="s">
        <v>2780</v>
      </c>
      <c r="E387" t="s">
        <v>2823</v>
      </c>
      <c r="F387" t="str">
        <f>"134/668"</f>
        <v>134/668</v>
      </c>
      <c r="G387" t="s">
        <v>950</v>
      </c>
      <c r="H387" t="s">
        <v>7512</v>
      </c>
      <c r="I387">
        <v>31.84</v>
      </c>
    </row>
    <row r="388" spans="1:9" ht="12.75">
      <c r="A388">
        <v>374</v>
      </c>
      <c r="B388" t="s">
        <v>7513</v>
      </c>
      <c r="C388" t="s">
        <v>5593</v>
      </c>
      <c r="D388" t="s">
        <v>2780</v>
      </c>
      <c r="E388" t="s">
        <v>2823</v>
      </c>
      <c r="F388" t="str">
        <f>"135/668"</f>
        <v>135/668</v>
      </c>
      <c r="G388" t="s">
        <v>7514</v>
      </c>
      <c r="H388" t="s">
        <v>7515</v>
      </c>
      <c r="I388">
        <v>31.82</v>
      </c>
    </row>
    <row r="389" spans="1:9" ht="12.75">
      <c r="A389">
        <v>375</v>
      </c>
      <c r="B389" t="s">
        <v>2132</v>
      </c>
      <c r="C389" t="s">
        <v>7516</v>
      </c>
      <c r="D389" t="s">
        <v>2780</v>
      </c>
      <c r="E389" t="s">
        <v>2923</v>
      </c>
      <c r="F389" t="str">
        <f>"1/5"</f>
        <v>1/5</v>
      </c>
      <c r="G389" t="s">
        <v>7517</v>
      </c>
      <c r="H389" t="s">
        <v>7518</v>
      </c>
      <c r="I389">
        <v>31.81</v>
      </c>
    </row>
    <row r="390" spans="1:9" ht="12.75">
      <c r="A390">
        <v>376</v>
      </c>
      <c r="B390" t="s">
        <v>5067</v>
      </c>
      <c r="C390" t="s">
        <v>7519</v>
      </c>
      <c r="D390" t="s">
        <v>2780</v>
      </c>
      <c r="E390" t="s">
        <v>2823</v>
      </c>
      <c r="F390" t="str">
        <f>"136/668"</f>
        <v>136/668</v>
      </c>
      <c r="G390" t="s">
        <v>7520</v>
      </c>
      <c r="H390" t="s">
        <v>7521</v>
      </c>
      <c r="I390">
        <v>31.81</v>
      </c>
    </row>
    <row r="391" spans="1:9" ht="12.75">
      <c r="A391">
        <v>377</v>
      </c>
      <c r="B391" t="s">
        <v>7522</v>
      </c>
      <c r="C391" t="s">
        <v>2865</v>
      </c>
      <c r="D391" t="s">
        <v>2780</v>
      </c>
      <c r="E391" t="s">
        <v>2818</v>
      </c>
      <c r="F391" t="str">
        <f>"42/380"</f>
        <v>42/380</v>
      </c>
      <c r="G391" t="s">
        <v>7523</v>
      </c>
      <c r="H391" t="s">
        <v>7524</v>
      </c>
      <c r="I391">
        <v>31.81</v>
      </c>
    </row>
    <row r="392" spans="1:9" ht="12.75">
      <c r="A392">
        <v>378</v>
      </c>
      <c r="B392" t="s">
        <v>1918</v>
      </c>
      <c r="C392" t="s">
        <v>3174</v>
      </c>
      <c r="D392" t="s">
        <v>2780</v>
      </c>
      <c r="E392" t="s">
        <v>2823</v>
      </c>
      <c r="F392" t="str">
        <f>"137/668"</f>
        <v>137/668</v>
      </c>
      <c r="G392" t="s">
        <v>2804</v>
      </c>
      <c r="H392" t="s">
        <v>7525</v>
      </c>
      <c r="I392">
        <v>31.8</v>
      </c>
    </row>
    <row r="393" spans="1:9" ht="12.75">
      <c r="A393">
        <v>379</v>
      </c>
      <c r="B393" t="s">
        <v>7526</v>
      </c>
      <c r="C393" t="s">
        <v>3108</v>
      </c>
      <c r="D393" t="s">
        <v>2780</v>
      </c>
      <c r="E393" t="s">
        <v>2799</v>
      </c>
      <c r="F393" t="str">
        <f>"38/100"</f>
        <v>38/100</v>
      </c>
      <c r="G393" t="s">
        <v>7527</v>
      </c>
      <c r="H393" t="s">
        <v>7528</v>
      </c>
      <c r="I393">
        <v>31.79</v>
      </c>
    </row>
    <row r="394" spans="1:9" ht="12.75">
      <c r="A394">
        <v>380</v>
      </c>
      <c r="B394" t="s">
        <v>7103</v>
      </c>
      <c r="C394" t="s">
        <v>2836</v>
      </c>
      <c r="D394" t="s">
        <v>2780</v>
      </c>
      <c r="E394" t="s">
        <v>2818</v>
      </c>
      <c r="F394" t="str">
        <f>"43/380"</f>
        <v>43/380</v>
      </c>
      <c r="G394" t="s">
        <v>7104</v>
      </c>
      <c r="H394" t="s">
        <v>7529</v>
      </c>
      <c r="I394">
        <v>31.79</v>
      </c>
    </row>
    <row r="395" spans="1:9" ht="12.75">
      <c r="A395">
        <v>381</v>
      </c>
      <c r="B395" t="s">
        <v>7530</v>
      </c>
      <c r="C395" t="s">
        <v>293</v>
      </c>
      <c r="D395" t="s">
        <v>3031</v>
      </c>
      <c r="E395" t="s">
        <v>3244</v>
      </c>
      <c r="F395" t="str">
        <f>"5/40"</f>
        <v>5/40</v>
      </c>
      <c r="G395" t="s">
        <v>2982</v>
      </c>
      <c r="H395" t="s">
        <v>7531</v>
      </c>
      <c r="I395">
        <v>31.78</v>
      </c>
    </row>
    <row r="396" spans="1:9" ht="12.75">
      <c r="A396">
        <v>382</v>
      </c>
      <c r="B396" t="s">
        <v>7532</v>
      </c>
      <c r="C396" t="s">
        <v>504</v>
      </c>
      <c r="D396" t="s">
        <v>2780</v>
      </c>
      <c r="E396" t="s">
        <v>2781</v>
      </c>
      <c r="F396" t="str">
        <f>"111/354"</f>
        <v>111/354</v>
      </c>
      <c r="G396" t="s">
        <v>3289</v>
      </c>
      <c r="H396" t="s">
        <v>7533</v>
      </c>
      <c r="I396">
        <v>31.77</v>
      </c>
    </row>
    <row r="397" spans="1:9" ht="12.75">
      <c r="A397">
        <v>383</v>
      </c>
      <c r="B397" t="s">
        <v>1851</v>
      </c>
      <c r="C397" t="s">
        <v>3554</v>
      </c>
      <c r="D397" t="s">
        <v>2780</v>
      </c>
      <c r="E397" t="s">
        <v>2973</v>
      </c>
      <c r="F397" t="str">
        <f>"9/147"</f>
        <v>9/147</v>
      </c>
      <c r="G397" t="s">
        <v>3261</v>
      </c>
      <c r="H397" t="s">
        <v>7534</v>
      </c>
      <c r="I397">
        <v>31.77</v>
      </c>
    </row>
    <row r="398" spans="1:9" ht="12.75">
      <c r="A398">
        <v>384</v>
      </c>
      <c r="B398" t="s">
        <v>1906</v>
      </c>
      <c r="C398" t="s">
        <v>7535</v>
      </c>
      <c r="D398" t="s">
        <v>2780</v>
      </c>
      <c r="E398" t="s">
        <v>2823</v>
      </c>
      <c r="F398" t="str">
        <f>"138/668"</f>
        <v>138/668</v>
      </c>
      <c r="G398" t="s">
        <v>3289</v>
      </c>
      <c r="H398" t="s">
        <v>7536</v>
      </c>
      <c r="I398">
        <v>31.76</v>
      </c>
    </row>
    <row r="399" spans="1:9" ht="12.75">
      <c r="A399">
        <v>385</v>
      </c>
      <c r="B399" t="s">
        <v>7537</v>
      </c>
      <c r="C399" t="s">
        <v>2830</v>
      </c>
      <c r="D399" t="s">
        <v>2780</v>
      </c>
      <c r="E399" t="s">
        <v>2823</v>
      </c>
      <c r="F399" t="str">
        <f>"139/668"</f>
        <v>139/668</v>
      </c>
      <c r="G399" t="s">
        <v>3338</v>
      </c>
      <c r="H399" t="s">
        <v>7538</v>
      </c>
      <c r="I399">
        <v>31.76</v>
      </c>
    </row>
    <row r="400" spans="1:9" ht="12.75">
      <c r="A400">
        <v>386</v>
      </c>
      <c r="B400" t="s">
        <v>7539</v>
      </c>
      <c r="C400" t="s">
        <v>7540</v>
      </c>
      <c r="D400" t="s">
        <v>2780</v>
      </c>
      <c r="E400" t="s">
        <v>2823</v>
      </c>
      <c r="F400" t="str">
        <f>"140/668"</f>
        <v>140/668</v>
      </c>
      <c r="G400" t="s">
        <v>3289</v>
      </c>
      <c r="H400" t="s">
        <v>7541</v>
      </c>
      <c r="I400">
        <v>31.76</v>
      </c>
    </row>
    <row r="401" spans="1:9" ht="12.75">
      <c r="A401">
        <v>387</v>
      </c>
      <c r="B401" t="s">
        <v>7542</v>
      </c>
      <c r="C401" t="s">
        <v>3017</v>
      </c>
      <c r="D401" t="s">
        <v>2780</v>
      </c>
      <c r="E401" t="s">
        <v>2823</v>
      </c>
      <c r="F401" t="str">
        <f>"141/668"</f>
        <v>141/668</v>
      </c>
      <c r="G401" t="s">
        <v>3046</v>
      </c>
      <c r="H401" t="s">
        <v>7543</v>
      </c>
      <c r="I401">
        <v>31.76</v>
      </c>
    </row>
    <row r="402" spans="1:9" ht="12.75">
      <c r="A402">
        <v>388</v>
      </c>
      <c r="B402" t="s">
        <v>7544</v>
      </c>
      <c r="C402" t="s">
        <v>2836</v>
      </c>
      <c r="D402" t="s">
        <v>2780</v>
      </c>
      <c r="E402" t="s">
        <v>2781</v>
      </c>
      <c r="F402" t="str">
        <f>"112/354"</f>
        <v>112/354</v>
      </c>
      <c r="G402" t="s">
        <v>7445</v>
      </c>
      <c r="H402" t="s">
        <v>7545</v>
      </c>
      <c r="I402">
        <v>31.75</v>
      </c>
    </row>
    <row r="403" spans="1:9" ht="12.75">
      <c r="A403">
        <v>389</v>
      </c>
      <c r="B403" t="s">
        <v>7546</v>
      </c>
      <c r="C403" t="s">
        <v>353</v>
      </c>
      <c r="D403" t="s">
        <v>2780</v>
      </c>
      <c r="E403" t="s">
        <v>2818</v>
      </c>
      <c r="F403" t="str">
        <f>"44/380"</f>
        <v>44/380</v>
      </c>
      <c r="G403" t="s">
        <v>7438</v>
      </c>
      <c r="H403" t="s">
        <v>7547</v>
      </c>
      <c r="I403">
        <v>31.75</v>
      </c>
    </row>
    <row r="404" spans="1:9" ht="12.75">
      <c r="A404">
        <v>390</v>
      </c>
      <c r="B404" t="s">
        <v>7548</v>
      </c>
      <c r="C404" t="s">
        <v>2830</v>
      </c>
      <c r="D404" t="s">
        <v>2780</v>
      </c>
      <c r="E404" t="s">
        <v>2823</v>
      </c>
      <c r="F404" t="str">
        <f>"142/668"</f>
        <v>142/668</v>
      </c>
      <c r="G404" t="s">
        <v>2880</v>
      </c>
      <c r="H404" t="s">
        <v>7549</v>
      </c>
      <c r="I404">
        <v>31.74</v>
      </c>
    </row>
    <row r="405" spans="1:9" ht="12.75">
      <c r="A405">
        <v>391</v>
      </c>
      <c r="B405" t="s">
        <v>5097</v>
      </c>
      <c r="C405" t="s">
        <v>2931</v>
      </c>
      <c r="D405" t="s">
        <v>2780</v>
      </c>
      <c r="E405" t="s">
        <v>2781</v>
      </c>
      <c r="F405" t="str">
        <f>"113/354"</f>
        <v>113/354</v>
      </c>
      <c r="G405" t="s">
        <v>7550</v>
      </c>
      <c r="H405" t="s">
        <v>7551</v>
      </c>
      <c r="I405">
        <v>31.74</v>
      </c>
    </row>
    <row r="406" spans="1:9" ht="12.75">
      <c r="A406">
        <v>392</v>
      </c>
      <c r="B406" t="s">
        <v>7552</v>
      </c>
      <c r="C406" t="s">
        <v>3464</v>
      </c>
      <c r="D406" t="s">
        <v>2780</v>
      </c>
      <c r="E406" t="s">
        <v>2781</v>
      </c>
      <c r="F406" t="str">
        <f>"114/354"</f>
        <v>114/354</v>
      </c>
      <c r="G406" t="s">
        <v>7553</v>
      </c>
      <c r="H406" t="s">
        <v>7554</v>
      </c>
      <c r="I406">
        <v>31.74</v>
      </c>
    </row>
    <row r="407" spans="1:9" ht="12.75">
      <c r="A407">
        <v>393</v>
      </c>
      <c r="B407" t="s">
        <v>7555</v>
      </c>
      <c r="C407" t="s">
        <v>3116</v>
      </c>
      <c r="D407" t="s">
        <v>2780</v>
      </c>
      <c r="E407" t="s">
        <v>2823</v>
      </c>
      <c r="F407" t="str">
        <f>"143/668"</f>
        <v>143/668</v>
      </c>
      <c r="G407" t="s">
        <v>7556</v>
      </c>
      <c r="H407" t="s">
        <v>7557</v>
      </c>
      <c r="I407">
        <v>31.73</v>
      </c>
    </row>
    <row r="408" spans="1:9" ht="12.75">
      <c r="A408">
        <v>394</v>
      </c>
      <c r="B408" t="s">
        <v>7558</v>
      </c>
      <c r="C408" t="s">
        <v>2951</v>
      </c>
      <c r="D408" t="s">
        <v>2780</v>
      </c>
      <c r="E408" t="s">
        <v>2823</v>
      </c>
      <c r="F408" t="str">
        <f>"144/668"</f>
        <v>144/668</v>
      </c>
      <c r="G408" t="s">
        <v>7559</v>
      </c>
      <c r="H408" t="s">
        <v>7560</v>
      </c>
      <c r="I408">
        <v>31.72</v>
      </c>
    </row>
    <row r="409" spans="1:9" ht="12.75">
      <c r="A409">
        <v>395</v>
      </c>
      <c r="B409" t="s">
        <v>7561</v>
      </c>
      <c r="C409" t="s">
        <v>3164</v>
      </c>
      <c r="D409" t="s">
        <v>2780</v>
      </c>
      <c r="E409" t="s">
        <v>2823</v>
      </c>
      <c r="F409" t="str">
        <f>"145/668"</f>
        <v>145/668</v>
      </c>
      <c r="G409" t="s">
        <v>2693</v>
      </c>
      <c r="H409" t="s">
        <v>7562</v>
      </c>
      <c r="I409">
        <v>31.72</v>
      </c>
    </row>
    <row r="410" spans="1:9" ht="12.75">
      <c r="A410">
        <v>396</v>
      </c>
      <c r="B410" t="s">
        <v>2642</v>
      </c>
      <c r="C410" t="s">
        <v>3421</v>
      </c>
      <c r="D410" t="s">
        <v>2780</v>
      </c>
      <c r="E410" t="s">
        <v>2781</v>
      </c>
      <c r="F410" t="str">
        <f>"115/354"</f>
        <v>115/354</v>
      </c>
      <c r="G410" t="s">
        <v>7207</v>
      </c>
      <c r="H410" t="s">
        <v>7563</v>
      </c>
      <c r="I410">
        <v>31.71</v>
      </c>
    </row>
    <row r="411" spans="1:9" ht="12.75">
      <c r="A411">
        <v>397</v>
      </c>
      <c r="B411" t="s">
        <v>7564</v>
      </c>
      <c r="C411" t="s">
        <v>2807</v>
      </c>
      <c r="D411" t="s">
        <v>2780</v>
      </c>
      <c r="E411" t="s">
        <v>2781</v>
      </c>
      <c r="F411" t="str">
        <f>"116/354"</f>
        <v>116/354</v>
      </c>
      <c r="G411" t="s">
        <v>4882</v>
      </c>
      <c r="H411" t="s">
        <v>7565</v>
      </c>
      <c r="I411">
        <v>31.71</v>
      </c>
    </row>
    <row r="412" spans="1:9" ht="12.75">
      <c r="A412">
        <v>398</v>
      </c>
      <c r="B412" t="s">
        <v>675</v>
      </c>
      <c r="C412" t="s">
        <v>504</v>
      </c>
      <c r="D412" t="s">
        <v>2780</v>
      </c>
      <c r="E412" t="s">
        <v>2818</v>
      </c>
      <c r="F412" t="str">
        <f>"45/380"</f>
        <v>45/380</v>
      </c>
      <c r="G412" t="s">
        <v>636</v>
      </c>
      <c r="H412" t="s">
        <v>7566</v>
      </c>
      <c r="I412">
        <v>31.7</v>
      </c>
    </row>
    <row r="413" spans="1:9" ht="12.75">
      <c r="A413">
        <v>399</v>
      </c>
      <c r="B413" t="s">
        <v>3062</v>
      </c>
      <c r="C413" t="s">
        <v>2963</v>
      </c>
      <c r="D413" t="s">
        <v>2780</v>
      </c>
      <c r="E413" t="s">
        <v>2823</v>
      </c>
      <c r="F413" t="str">
        <f>"146/668"</f>
        <v>146/668</v>
      </c>
      <c r="G413" t="s">
        <v>795</v>
      </c>
      <c r="H413" t="s">
        <v>7567</v>
      </c>
      <c r="I413">
        <v>31.69</v>
      </c>
    </row>
    <row r="414" spans="1:9" ht="12.75">
      <c r="A414">
        <v>400</v>
      </c>
      <c r="B414" t="s">
        <v>3227</v>
      </c>
      <c r="C414" t="s">
        <v>3560</v>
      </c>
      <c r="D414" t="s">
        <v>2780</v>
      </c>
      <c r="E414" t="s">
        <v>2823</v>
      </c>
      <c r="F414" t="str">
        <f>"147/668"</f>
        <v>147/668</v>
      </c>
      <c r="G414" t="s">
        <v>314</v>
      </c>
      <c r="H414" t="s">
        <v>7568</v>
      </c>
      <c r="I414">
        <v>31.68</v>
      </c>
    </row>
    <row r="415" spans="1:9" ht="12.75">
      <c r="A415">
        <v>401</v>
      </c>
      <c r="B415" t="s">
        <v>7569</v>
      </c>
      <c r="C415" t="s">
        <v>2840</v>
      </c>
      <c r="D415" t="s">
        <v>2780</v>
      </c>
      <c r="E415" t="s">
        <v>2823</v>
      </c>
      <c r="F415" t="str">
        <f>"148/668"</f>
        <v>148/668</v>
      </c>
      <c r="G415" t="s">
        <v>1016</v>
      </c>
      <c r="H415" t="s">
        <v>7570</v>
      </c>
      <c r="I415">
        <v>31.68</v>
      </c>
    </row>
    <row r="416" spans="1:9" ht="12.75">
      <c r="A416">
        <v>402</v>
      </c>
      <c r="B416" t="s">
        <v>7571</v>
      </c>
      <c r="C416" t="s">
        <v>2836</v>
      </c>
      <c r="D416" t="s">
        <v>2780</v>
      </c>
      <c r="E416" t="s">
        <v>2781</v>
      </c>
      <c r="F416" t="str">
        <f>"117/354"</f>
        <v>117/354</v>
      </c>
      <c r="G416" t="s">
        <v>7225</v>
      </c>
      <c r="H416" t="s">
        <v>7572</v>
      </c>
      <c r="I416">
        <v>31.68</v>
      </c>
    </row>
    <row r="417" spans="1:9" ht="12.75">
      <c r="A417">
        <v>403</v>
      </c>
      <c r="B417" t="s">
        <v>7020</v>
      </c>
      <c r="C417" t="s">
        <v>3045</v>
      </c>
      <c r="D417" t="s">
        <v>2780</v>
      </c>
      <c r="E417" t="s">
        <v>2823</v>
      </c>
      <c r="F417" t="str">
        <f>"149/668"</f>
        <v>149/668</v>
      </c>
      <c r="G417" t="s">
        <v>2943</v>
      </c>
      <c r="H417" t="s">
        <v>7573</v>
      </c>
      <c r="I417">
        <v>31.68</v>
      </c>
    </row>
    <row r="418" spans="1:9" ht="12.75">
      <c r="A418">
        <v>404</v>
      </c>
      <c r="B418" t="s">
        <v>2953</v>
      </c>
      <c r="C418" t="s">
        <v>3141</v>
      </c>
      <c r="D418" t="s">
        <v>2780</v>
      </c>
      <c r="E418" t="s">
        <v>2781</v>
      </c>
      <c r="F418" t="str">
        <f>"118/354"</f>
        <v>118/354</v>
      </c>
      <c r="G418" t="s">
        <v>2943</v>
      </c>
      <c r="H418" t="s">
        <v>7574</v>
      </c>
      <c r="I418">
        <v>31.68</v>
      </c>
    </row>
    <row r="419" spans="1:9" ht="12.75">
      <c r="A419">
        <v>405</v>
      </c>
      <c r="B419" t="s">
        <v>7575</v>
      </c>
      <c r="C419" t="s">
        <v>2865</v>
      </c>
      <c r="D419" t="s">
        <v>2780</v>
      </c>
      <c r="E419" t="s">
        <v>2818</v>
      </c>
      <c r="F419" t="str">
        <f>"46/380"</f>
        <v>46/380</v>
      </c>
      <c r="G419" t="s">
        <v>7576</v>
      </c>
      <c r="H419" t="s">
        <v>7577</v>
      </c>
      <c r="I419">
        <v>31.68</v>
      </c>
    </row>
    <row r="420" spans="1:9" ht="12.75">
      <c r="A420">
        <v>406</v>
      </c>
      <c r="B420" t="s">
        <v>5043</v>
      </c>
      <c r="C420" t="s">
        <v>5044</v>
      </c>
      <c r="D420" t="s">
        <v>2780</v>
      </c>
      <c r="E420" t="s">
        <v>2818</v>
      </c>
      <c r="F420" t="str">
        <f>"47/380"</f>
        <v>47/380</v>
      </c>
      <c r="G420" t="s">
        <v>636</v>
      </c>
      <c r="H420" t="s">
        <v>7578</v>
      </c>
      <c r="I420">
        <v>31.68</v>
      </c>
    </row>
    <row r="421" spans="1:9" ht="12.75">
      <c r="A421">
        <v>407</v>
      </c>
      <c r="B421" t="s">
        <v>7579</v>
      </c>
      <c r="C421" t="s">
        <v>3114</v>
      </c>
      <c r="D421" t="s">
        <v>2780</v>
      </c>
      <c r="E421" t="s">
        <v>2973</v>
      </c>
      <c r="F421" t="str">
        <f>"10/147"</f>
        <v>10/147</v>
      </c>
      <c r="G421" t="s">
        <v>7580</v>
      </c>
      <c r="H421" t="s">
        <v>7581</v>
      </c>
      <c r="I421">
        <v>31.68</v>
      </c>
    </row>
    <row r="422" spans="1:9" ht="12.75">
      <c r="A422">
        <v>408</v>
      </c>
      <c r="B422" t="s">
        <v>7582</v>
      </c>
      <c r="C422" t="s">
        <v>7583</v>
      </c>
      <c r="D422" t="s">
        <v>2780</v>
      </c>
      <c r="E422" t="s">
        <v>2818</v>
      </c>
      <c r="F422" t="str">
        <f>"48/380"</f>
        <v>48/380</v>
      </c>
      <c r="G422" t="s">
        <v>3418</v>
      </c>
      <c r="H422" t="s">
        <v>7584</v>
      </c>
      <c r="I422">
        <v>31.67</v>
      </c>
    </row>
    <row r="423" spans="1:9" ht="12.75">
      <c r="A423">
        <v>409</v>
      </c>
      <c r="B423" t="s">
        <v>7585</v>
      </c>
      <c r="C423" t="s">
        <v>2861</v>
      </c>
      <c r="D423" t="s">
        <v>2780</v>
      </c>
      <c r="E423" t="s">
        <v>2823</v>
      </c>
      <c r="F423" t="str">
        <f>"150/668"</f>
        <v>150/668</v>
      </c>
      <c r="G423" t="s">
        <v>314</v>
      </c>
      <c r="H423" t="s">
        <v>7586</v>
      </c>
      <c r="I423">
        <v>31.67</v>
      </c>
    </row>
    <row r="424" spans="1:9" ht="12.75">
      <c r="A424">
        <v>410</v>
      </c>
      <c r="B424" t="s">
        <v>7587</v>
      </c>
      <c r="C424" t="s">
        <v>3633</v>
      </c>
      <c r="D424" t="s">
        <v>2780</v>
      </c>
      <c r="E424" t="s">
        <v>2781</v>
      </c>
      <c r="F424" t="str">
        <f>"119/354"</f>
        <v>119/354</v>
      </c>
      <c r="G424" t="s">
        <v>7527</v>
      </c>
      <c r="H424" t="s">
        <v>7588</v>
      </c>
      <c r="I424">
        <v>31.65</v>
      </c>
    </row>
    <row r="425" spans="1:9" ht="12.75">
      <c r="A425">
        <v>411</v>
      </c>
      <c r="B425" t="s">
        <v>2867</v>
      </c>
      <c r="C425" t="s">
        <v>2868</v>
      </c>
      <c r="D425" t="s">
        <v>2780</v>
      </c>
      <c r="E425" t="s">
        <v>2823</v>
      </c>
      <c r="F425" t="str">
        <f>"151/668"</f>
        <v>151/668</v>
      </c>
      <c r="G425" t="s">
        <v>2693</v>
      </c>
      <c r="H425" t="s">
        <v>7589</v>
      </c>
      <c r="I425">
        <v>31.65</v>
      </c>
    </row>
    <row r="426" spans="1:9" ht="12.75">
      <c r="A426">
        <v>412</v>
      </c>
      <c r="B426" t="s">
        <v>3336</v>
      </c>
      <c r="C426" t="s">
        <v>2886</v>
      </c>
      <c r="D426" t="s">
        <v>2780</v>
      </c>
      <c r="E426" t="s">
        <v>2781</v>
      </c>
      <c r="F426" t="str">
        <f>"120/354"</f>
        <v>120/354</v>
      </c>
      <c r="G426" t="s">
        <v>3018</v>
      </c>
      <c r="H426" t="s">
        <v>7590</v>
      </c>
      <c r="I426">
        <v>31.64</v>
      </c>
    </row>
    <row r="427" spans="1:9" ht="12.75">
      <c r="A427">
        <v>413</v>
      </c>
      <c r="B427" t="s">
        <v>7591</v>
      </c>
      <c r="C427" t="s">
        <v>43</v>
      </c>
      <c r="D427" t="s">
        <v>2780</v>
      </c>
      <c r="E427" t="s">
        <v>2823</v>
      </c>
      <c r="F427" t="str">
        <f>"152/668"</f>
        <v>152/668</v>
      </c>
      <c r="G427" t="s">
        <v>4882</v>
      </c>
      <c r="H427" t="s">
        <v>7592</v>
      </c>
      <c r="I427">
        <v>31.64</v>
      </c>
    </row>
    <row r="428" spans="1:9" ht="12.75">
      <c r="A428">
        <v>414</v>
      </c>
      <c r="B428" t="s">
        <v>3595</v>
      </c>
      <c r="C428" t="s">
        <v>3057</v>
      </c>
      <c r="D428" t="s">
        <v>2780</v>
      </c>
      <c r="E428" t="s">
        <v>2799</v>
      </c>
      <c r="F428" t="str">
        <f>"39/100"</f>
        <v>39/100</v>
      </c>
      <c r="G428" t="s">
        <v>3277</v>
      </c>
      <c r="H428" t="s">
        <v>7593</v>
      </c>
      <c r="I428">
        <v>31.64</v>
      </c>
    </row>
    <row r="429" spans="1:9" ht="12.75">
      <c r="A429">
        <v>415</v>
      </c>
      <c r="B429" t="s">
        <v>7594</v>
      </c>
      <c r="C429" t="s">
        <v>84</v>
      </c>
      <c r="D429" t="s">
        <v>2780</v>
      </c>
      <c r="E429" t="s">
        <v>2781</v>
      </c>
      <c r="F429" t="str">
        <f>"121/354"</f>
        <v>121/354</v>
      </c>
      <c r="G429" t="s">
        <v>3450</v>
      </c>
      <c r="H429" t="s">
        <v>7595</v>
      </c>
      <c r="I429">
        <v>31.64</v>
      </c>
    </row>
    <row r="430" spans="1:9" ht="12.75">
      <c r="A430">
        <v>416</v>
      </c>
      <c r="B430" t="s">
        <v>7596</v>
      </c>
      <c r="C430" t="s">
        <v>2942</v>
      </c>
      <c r="D430" t="s">
        <v>2780</v>
      </c>
      <c r="E430" t="s">
        <v>2823</v>
      </c>
      <c r="F430" t="str">
        <f>"153/668"</f>
        <v>153/668</v>
      </c>
      <c r="G430" t="s">
        <v>5376</v>
      </c>
      <c r="H430" t="s">
        <v>7597</v>
      </c>
      <c r="I430">
        <v>31.62</v>
      </c>
    </row>
    <row r="431" spans="1:9" ht="12.75">
      <c r="A431">
        <v>417</v>
      </c>
      <c r="B431" t="s">
        <v>7598</v>
      </c>
      <c r="C431" t="s">
        <v>2895</v>
      </c>
      <c r="D431" t="s">
        <v>2780</v>
      </c>
      <c r="E431" t="s">
        <v>2786</v>
      </c>
      <c r="F431" t="str">
        <f>"20/44"</f>
        <v>20/44</v>
      </c>
      <c r="G431" t="s">
        <v>3206</v>
      </c>
      <c r="H431" t="s">
        <v>7599</v>
      </c>
      <c r="I431">
        <v>31.6</v>
      </c>
    </row>
    <row r="432" spans="1:9" ht="12.75">
      <c r="A432">
        <v>418</v>
      </c>
      <c r="B432" t="s">
        <v>7600</v>
      </c>
      <c r="C432" t="s">
        <v>3438</v>
      </c>
      <c r="D432" t="s">
        <v>2780</v>
      </c>
      <c r="E432" t="s">
        <v>2823</v>
      </c>
      <c r="F432" t="str">
        <f>"154/668"</f>
        <v>154/668</v>
      </c>
      <c r="G432" t="s">
        <v>3418</v>
      </c>
      <c r="H432" t="s">
        <v>7601</v>
      </c>
      <c r="I432">
        <v>31.6</v>
      </c>
    </row>
    <row r="433" spans="1:9" ht="12.75">
      <c r="A433">
        <v>419</v>
      </c>
      <c r="B433" t="s">
        <v>7602</v>
      </c>
      <c r="C433" t="s">
        <v>2836</v>
      </c>
      <c r="D433" t="s">
        <v>2780</v>
      </c>
      <c r="E433" t="s">
        <v>2823</v>
      </c>
      <c r="F433" t="str">
        <f>"155/668"</f>
        <v>155/668</v>
      </c>
      <c r="G433" t="s">
        <v>314</v>
      </c>
      <c r="H433" t="s">
        <v>7603</v>
      </c>
      <c r="I433">
        <v>31.58</v>
      </c>
    </row>
    <row r="434" spans="1:9" ht="12.75">
      <c r="A434">
        <v>420</v>
      </c>
      <c r="B434" t="s">
        <v>7604</v>
      </c>
      <c r="C434" t="s">
        <v>3318</v>
      </c>
      <c r="D434" t="s">
        <v>2780</v>
      </c>
      <c r="E434" t="s">
        <v>2947</v>
      </c>
      <c r="F434" t="str">
        <f>"16/16"</f>
        <v>16/16</v>
      </c>
      <c r="G434" t="s">
        <v>7605</v>
      </c>
      <c r="H434" t="s">
        <v>7606</v>
      </c>
      <c r="I434">
        <v>31.57</v>
      </c>
    </row>
    <row r="435" spans="1:9" ht="12.75">
      <c r="A435">
        <v>421</v>
      </c>
      <c r="B435" t="s">
        <v>1208</v>
      </c>
      <c r="C435" t="s">
        <v>2895</v>
      </c>
      <c r="D435" t="s">
        <v>2780</v>
      </c>
      <c r="E435" t="s">
        <v>2781</v>
      </c>
      <c r="F435" t="str">
        <f>"122/354"</f>
        <v>122/354</v>
      </c>
      <c r="G435" t="s">
        <v>314</v>
      </c>
      <c r="H435" t="s">
        <v>7607</v>
      </c>
      <c r="I435">
        <v>31.56</v>
      </c>
    </row>
    <row r="436" spans="1:9" ht="12.75">
      <c r="A436">
        <v>422</v>
      </c>
      <c r="B436" t="s">
        <v>7608</v>
      </c>
      <c r="C436" t="s">
        <v>470</v>
      </c>
      <c r="D436" t="s">
        <v>2780</v>
      </c>
      <c r="E436" t="s">
        <v>2973</v>
      </c>
      <c r="F436" t="str">
        <f>"11/147"</f>
        <v>11/147</v>
      </c>
      <c r="G436" t="s">
        <v>2752</v>
      </c>
      <c r="H436" t="s">
        <v>7609</v>
      </c>
      <c r="I436">
        <v>31.56</v>
      </c>
    </row>
    <row r="437" spans="1:9" ht="12.75">
      <c r="A437">
        <v>423</v>
      </c>
      <c r="B437" t="s">
        <v>7610</v>
      </c>
      <c r="C437" t="s">
        <v>2810</v>
      </c>
      <c r="D437" t="s">
        <v>2780</v>
      </c>
      <c r="E437" t="s">
        <v>2781</v>
      </c>
      <c r="F437" t="str">
        <f>"123/354"</f>
        <v>123/354</v>
      </c>
      <c r="G437" t="s">
        <v>7611</v>
      </c>
      <c r="H437" t="s">
        <v>7612</v>
      </c>
      <c r="I437">
        <v>31.56</v>
      </c>
    </row>
    <row r="438" spans="1:9" ht="12.75">
      <c r="A438">
        <v>424</v>
      </c>
      <c r="B438" t="s">
        <v>3378</v>
      </c>
      <c r="C438" t="s">
        <v>7613</v>
      </c>
      <c r="D438" t="s">
        <v>3031</v>
      </c>
      <c r="E438" t="s">
        <v>3032</v>
      </c>
      <c r="F438" t="str">
        <f>"5/25"</f>
        <v>5/25</v>
      </c>
      <c r="G438" t="s">
        <v>3338</v>
      </c>
      <c r="H438" t="s">
        <v>7614</v>
      </c>
      <c r="I438">
        <v>31.56</v>
      </c>
    </row>
    <row r="439" spans="1:9" ht="12.75">
      <c r="A439">
        <v>425</v>
      </c>
      <c r="B439" t="s">
        <v>7615</v>
      </c>
      <c r="C439" t="s">
        <v>5404</v>
      </c>
      <c r="D439" t="s">
        <v>2780</v>
      </c>
      <c r="E439" t="s">
        <v>2823</v>
      </c>
      <c r="F439" t="str">
        <f>"156/668"</f>
        <v>156/668</v>
      </c>
      <c r="G439" t="s">
        <v>3338</v>
      </c>
      <c r="H439" t="s">
        <v>7616</v>
      </c>
      <c r="I439">
        <v>31.56</v>
      </c>
    </row>
    <row r="440" spans="1:9" ht="12.75">
      <c r="A440">
        <v>426</v>
      </c>
      <c r="B440" t="s">
        <v>7617</v>
      </c>
      <c r="C440" t="s">
        <v>2807</v>
      </c>
      <c r="D440" t="s">
        <v>2780</v>
      </c>
      <c r="E440" t="s">
        <v>2799</v>
      </c>
      <c r="F440" t="str">
        <f>"40/100"</f>
        <v>40/100</v>
      </c>
      <c r="G440" t="s">
        <v>3338</v>
      </c>
      <c r="H440" t="s">
        <v>7618</v>
      </c>
      <c r="I440">
        <v>31.56</v>
      </c>
    </row>
    <row r="441" spans="1:9" ht="12.75">
      <c r="A441">
        <v>427</v>
      </c>
      <c r="B441" t="s">
        <v>7619</v>
      </c>
      <c r="C441" t="s">
        <v>2865</v>
      </c>
      <c r="D441" t="s">
        <v>2780</v>
      </c>
      <c r="E441" t="s">
        <v>2818</v>
      </c>
      <c r="F441" t="str">
        <f>"49/380"</f>
        <v>49/380</v>
      </c>
      <c r="G441" t="s">
        <v>7620</v>
      </c>
      <c r="H441" t="s">
        <v>7621</v>
      </c>
      <c r="I441">
        <v>31.56</v>
      </c>
    </row>
    <row r="442" spans="1:9" ht="12.75">
      <c r="A442">
        <v>428</v>
      </c>
      <c r="B442" t="s">
        <v>7622</v>
      </c>
      <c r="C442" t="s">
        <v>7623</v>
      </c>
      <c r="D442" t="s">
        <v>3031</v>
      </c>
      <c r="E442" t="s">
        <v>3244</v>
      </c>
      <c r="F442" t="str">
        <f>"6/40"</f>
        <v>6/40</v>
      </c>
      <c r="G442" t="s">
        <v>3338</v>
      </c>
      <c r="H442" t="s">
        <v>7624</v>
      </c>
      <c r="I442">
        <v>31.55</v>
      </c>
    </row>
    <row r="443" spans="1:9" ht="12.75">
      <c r="A443">
        <v>429</v>
      </c>
      <c r="B443" t="s">
        <v>1196</v>
      </c>
      <c r="C443" t="s">
        <v>2857</v>
      </c>
      <c r="D443" t="s">
        <v>2780</v>
      </c>
      <c r="E443" t="s">
        <v>2823</v>
      </c>
      <c r="F443" t="str">
        <f>"157/668"</f>
        <v>157/668</v>
      </c>
      <c r="G443" t="s">
        <v>3176</v>
      </c>
      <c r="H443" t="s">
        <v>7625</v>
      </c>
      <c r="I443">
        <v>31.55</v>
      </c>
    </row>
    <row r="444" spans="1:9" ht="12.75">
      <c r="A444">
        <v>430</v>
      </c>
      <c r="B444" t="s">
        <v>7626</v>
      </c>
      <c r="C444" t="s">
        <v>2942</v>
      </c>
      <c r="D444" t="s">
        <v>2780</v>
      </c>
      <c r="E444" t="s">
        <v>2781</v>
      </c>
      <c r="F444" t="str">
        <f>"124/354"</f>
        <v>124/354</v>
      </c>
      <c r="G444" t="s">
        <v>446</v>
      </c>
      <c r="H444" t="s">
        <v>7627</v>
      </c>
      <c r="I444">
        <v>31.54</v>
      </c>
    </row>
    <row r="445" spans="1:9" ht="12.75">
      <c r="A445">
        <v>431</v>
      </c>
      <c r="B445" t="s">
        <v>7628</v>
      </c>
      <c r="C445" t="s">
        <v>3164</v>
      </c>
      <c r="D445" t="s">
        <v>2780</v>
      </c>
      <c r="E445" t="s">
        <v>2823</v>
      </c>
      <c r="F445" t="str">
        <f>"158/668"</f>
        <v>158/668</v>
      </c>
      <c r="G445" t="s">
        <v>59</v>
      </c>
      <c r="H445" t="s">
        <v>7629</v>
      </c>
      <c r="I445">
        <v>31.53</v>
      </c>
    </row>
    <row r="446" spans="1:9" ht="12.75">
      <c r="A446">
        <v>432</v>
      </c>
      <c r="B446" t="s">
        <v>7630</v>
      </c>
      <c r="C446" t="s">
        <v>5564</v>
      </c>
      <c r="D446" t="s">
        <v>2780</v>
      </c>
      <c r="E446" t="s">
        <v>2823</v>
      </c>
      <c r="F446" t="str">
        <f>"159/668"</f>
        <v>159/668</v>
      </c>
      <c r="G446" t="s">
        <v>1626</v>
      </c>
      <c r="H446" t="s">
        <v>7631</v>
      </c>
      <c r="I446">
        <v>31.53</v>
      </c>
    </row>
    <row r="447" spans="1:9" ht="12.75">
      <c r="A447">
        <v>433</v>
      </c>
      <c r="B447" t="s">
        <v>61</v>
      </c>
      <c r="C447" t="s">
        <v>4894</v>
      </c>
      <c r="D447" t="s">
        <v>2780</v>
      </c>
      <c r="E447" t="s">
        <v>2823</v>
      </c>
      <c r="F447" t="str">
        <f>"160/668"</f>
        <v>160/668</v>
      </c>
      <c r="G447" t="s">
        <v>950</v>
      </c>
      <c r="H447" t="s">
        <v>7632</v>
      </c>
      <c r="I447">
        <v>31.53</v>
      </c>
    </row>
    <row r="448" spans="1:9" ht="12.75">
      <c r="A448">
        <v>434</v>
      </c>
      <c r="B448" t="s">
        <v>7633</v>
      </c>
      <c r="C448" t="s">
        <v>54</v>
      </c>
      <c r="D448" t="s">
        <v>2780</v>
      </c>
      <c r="E448" t="s">
        <v>2973</v>
      </c>
      <c r="F448" t="str">
        <f>"12/147"</f>
        <v>12/147</v>
      </c>
      <c r="G448" t="s">
        <v>0</v>
      </c>
      <c r="H448" t="s">
        <v>7634</v>
      </c>
      <c r="I448">
        <v>31.53</v>
      </c>
    </row>
    <row r="449" spans="1:9" ht="12.75">
      <c r="A449">
        <v>435</v>
      </c>
      <c r="B449" t="s">
        <v>7635</v>
      </c>
      <c r="C449" t="s">
        <v>3114</v>
      </c>
      <c r="D449" t="s">
        <v>2780</v>
      </c>
      <c r="E449" t="s">
        <v>2823</v>
      </c>
      <c r="F449" t="str">
        <f>"161/668"</f>
        <v>161/668</v>
      </c>
      <c r="G449" t="s">
        <v>5214</v>
      </c>
      <c r="H449" t="s">
        <v>7636</v>
      </c>
      <c r="I449">
        <v>31.52</v>
      </c>
    </row>
    <row r="450" spans="1:9" ht="12.75">
      <c r="A450">
        <v>436</v>
      </c>
      <c r="B450" t="s">
        <v>7637</v>
      </c>
      <c r="C450" t="s">
        <v>7638</v>
      </c>
      <c r="D450" t="s">
        <v>2780</v>
      </c>
      <c r="E450" t="s">
        <v>2973</v>
      </c>
      <c r="F450" t="str">
        <f>"13/147"</f>
        <v>13/147</v>
      </c>
      <c r="G450" t="s">
        <v>3543</v>
      </c>
      <c r="H450" t="s">
        <v>7639</v>
      </c>
      <c r="I450">
        <v>31.52</v>
      </c>
    </row>
    <row r="451" spans="1:9" ht="12.75">
      <c r="A451">
        <v>437</v>
      </c>
      <c r="B451" t="s">
        <v>7640</v>
      </c>
      <c r="C451" t="s">
        <v>2942</v>
      </c>
      <c r="D451" t="s">
        <v>2780</v>
      </c>
      <c r="E451" t="s">
        <v>2781</v>
      </c>
      <c r="F451" t="str">
        <f>"125/354"</f>
        <v>125/354</v>
      </c>
      <c r="G451" t="s">
        <v>59</v>
      </c>
      <c r="H451" t="s">
        <v>7641</v>
      </c>
      <c r="I451">
        <v>31.5</v>
      </c>
    </row>
    <row r="452" spans="1:9" ht="12.75">
      <c r="A452">
        <v>438</v>
      </c>
      <c r="B452" t="s">
        <v>1134</v>
      </c>
      <c r="C452" t="s">
        <v>2966</v>
      </c>
      <c r="D452" t="s">
        <v>2780</v>
      </c>
      <c r="E452" t="s">
        <v>2823</v>
      </c>
      <c r="F452" t="str">
        <f>"162/668"</f>
        <v>162/668</v>
      </c>
      <c r="G452" t="s">
        <v>1045</v>
      </c>
      <c r="H452" t="s">
        <v>7642</v>
      </c>
      <c r="I452">
        <v>31.5</v>
      </c>
    </row>
    <row r="453" spans="1:9" ht="12.75">
      <c r="A453">
        <v>439</v>
      </c>
      <c r="B453" t="s">
        <v>7643</v>
      </c>
      <c r="C453" t="s">
        <v>580</v>
      </c>
      <c r="D453" t="s">
        <v>2780</v>
      </c>
      <c r="E453" t="s">
        <v>2823</v>
      </c>
      <c r="F453" t="str">
        <f>"163/668"</f>
        <v>163/668</v>
      </c>
      <c r="G453" t="s">
        <v>7438</v>
      </c>
      <c r="H453" t="s">
        <v>7644</v>
      </c>
      <c r="I453">
        <v>31.47</v>
      </c>
    </row>
    <row r="454" spans="1:9" ht="12.75">
      <c r="A454">
        <v>440</v>
      </c>
      <c r="B454" t="s">
        <v>1148</v>
      </c>
      <c r="C454" t="s">
        <v>2942</v>
      </c>
      <c r="D454" t="s">
        <v>2780</v>
      </c>
      <c r="E454" t="s">
        <v>2823</v>
      </c>
      <c r="F454" t="str">
        <f>"164/668"</f>
        <v>164/668</v>
      </c>
      <c r="G454" t="s">
        <v>3220</v>
      </c>
      <c r="H454" t="s">
        <v>7645</v>
      </c>
      <c r="I454">
        <v>31.47</v>
      </c>
    </row>
    <row r="455" spans="1:9" ht="12.75">
      <c r="A455">
        <v>441</v>
      </c>
      <c r="B455" t="s">
        <v>7646</v>
      </c>
      <c r="C455" t="s">
        <v>2868</v>
      </c>
      <c r="D455" t="s">
        <v>2780</v>
      </c>
      <c r="E455" t="s">
        <v>2823</v>
      </c>
      <c r="F455" t="str">
        <f>"165/668"</f>
        <v>165/668</v>
      </c>
      <c r="G455" t="s">
        <v>3220</v>
      </c>
      <c r="H455" t="s">
        <v>7647</v>
      </c>
      <c r="I455">
        <v>31.46</v>
      </c>
    </row>
    <row r="456" spans="1:9" ht="12.75">
      <c r="A456">
        <v>442</v>
      </c>
      <c r="B456" t="s">
        <v>7648</v>
      </c>
      <c r="C456" t="s">
        <v>2857</v>
      </c>
      <c r="D456" t="s">
        <v>2780</v>
      </c>
      <c r="E456" t="s">
        <v>2781</v>
      </c>
      <c r="F456" t="str">
        <f>"126/354"</f>
        <v>126/354</v>
      </c>
      <c r="G456" t="s">
        <v>3465</v>
      </c>
      <c r="H456" t="s">
        <v>7649</v>
      </c>
      <c r="I456">
        <v>31.46</v>
      </c>
    </row>
    <row r="457" spans="1:9" ht="12.75">
      <c r="A457">
        <v>443</v>
      </c>
      <c r="B457" t="s">
        <v>7650</v>
      </c>
      <c r="C457" t="s">
        <v>2942</v>
      </c>
      <c r="D457" t="s">
        <v>2780</v>
      </c>
      <c r="E457" t="s">
        <v>2823</v>
      </c>
      <c r="F457" t="str">
        <f>"166/668"</f>
        <v>166/668</v>
      </c>
      <c r="G457" t="s">
        <v>7651</v>
      </c>
      <c r="H457" t="s">
        <v>7652</v>
      </c>
      <c r="I457">
        <v>31.45</v>
      </c>
    </row>
    <row r="458" spans="1:9" ht="12.75">
      <c r="A458">
        <v>444</v>
      </c>
      <c r="B458" t="s">
        <v>5123</v>
      </c>
      <c r="C458" t="s">
        <v>3114</v>
      </c>
      <c r="D458" t="s">
        <v>2780</v>
      </c>
      <c r="E458" t="s">
        <v>2823</v>
      </c>
      <c r="F458" t="str">
        <f>"167/668"</f>
        <v>167/668</v>
      </c>
      <c r="G458" t="s">
        <v>7653</v>
      </c>
      <c r="H458" t="s">
        <v>7654</v>
      </c>
      <c r="I458">
        <v>31.45</v>
      </c>
    </row>
    <row r="459" spans="1:9" ht="12.75">
      <c r="A459">
        <v>445</v>
      </c>
      <c r="B459" t="s">
        <v>1208</v>
      </c>
      <c r="C459" t="s">
        <v>2836</v>
      </c>
      <c r="D459" t="s">
        <v>2780</v>
      </c>
      <c r="E459" t="s">
        <v>2823</v>
      </c>
      <c r="F459" t="str">
        <f>"168/668"</f>
        <v>168/668</v>
      </c>
      <c r="G459" t="s">
        <v>7655</v>
      </c>
      <c r="H459" t="s">
        <v>7656</v>
      </c>
      <c r="I459">
        <v>31.45</v>
      </c>
    </row>
    <row r="460" spans="1:9" ht="12.75">
      <c r="A460">
        <v>446</v>
      </c>
      <c r="B460" t="s">
        <v>3191</v>
      </c>
      <c r="C460" t="s">
        <v>2931</v>
      </c>
      <c r="D460" t="s">
        <v>2780</v>
      </c>
      <c r="E460" t="s">
        <v>2818</v>
      </c>
      <c r="F460" t="str">
        <f>"50/380"</f>
        <v>50/380</v>
      </c>
      <c r="G460" t="s">
        <v>3206</v>
      </c>
      <c r="H460" t="s">
        <v>7657</v>
      </c>
      <c r="I460">
        <v>31.44</v>
      </c>
    </row>
    <row r="461" spans="1:9" ht="12.75">
      <c r="A461">
        <v>447</v>
      </c>
      <c r="B461" t="s">
        <v>7392</v>
      </c>
      <c r="C461" t="s">
        <v>2830</v>
      </c>
      <c r="D461" t="s">
        <v>2780</v>
      </c>
      <c r="E461" t="s">
        <v>2973</v>
      </c>
      <c r="F461" t="str">
        <f>"14/147"</f>
        <v>14/147</v>
      </c>
      <c r="G461" t="s">
        <v>18</v>
      </c>
      <c r="H461" t="s">
        <v>7658</v>
      </c>
      <c r="I461">
        <v>31.44</v>
      </c>
    </row>
    <row r="462" spans="1:9" ht="12.75">
      <c r="A462">
        <v>448</v>
      </c>
      <c r="B462" t="s">
        <v>5548</v>
      </c>
      <c r="C462" t="s">
        <v>39</v>
      </c>
      <c r="D462" t="s">
        <v>2780</v>
      </c>
      <c r="E462" t="s">
        <v>2823</v>
      </c>
      <c r="F462" t="str">
        <f>"169/668"</f>
        <v>169/668</v>
      </c>
      <c r="G462" t="s">
        <v>636</v>
      </c>
      <c r="H462" t="s">
        <v>7659</v>
      </c>
      <c r="I462">
        <v>31.44</v>
      </c>
    </row>
    <row r="463" spans="1:9" ht="12.75">
      <c r="A463">
        <v>449</v>
      </c>
      <c r="B463" t="s">
        <v>7660</v>
      </c>
      <c r="C463" t="s">
        <v>842</v>
      </c>
      <c r="D463" t="s">
        <v>2780</v>
      </c>
      <c r="E463" t="s">
        <v>2818</v>
      </c>
      <c r="F463" t="str">
        <f>"51/380"</f>
        <v>51/380</v>
      </c>
      <c r="G463" t="s">
        <v>59</v>
      </c>
      <c r="H463" t="s">
        <v>7661</v>
      </c>
      <c r="I463">
        <v>31.43</v>
      </c>
    </row>
    <row r="464" spans="1:9" ht="12.75">
      <c r="A464">
        <v>450</v>
      </c>
      <c r="B464" t="s">
        <v>1895</v>
      </c>
      <c r="C464" t="s">
        <v>2810</v>
      </c>
      <c r="D464" t="s">
        <v>2780</v>
      </c>
      <c r="E464" t="s">
        <v>2781</v>
      </c>
      <c r="F464" t="str">
        <f>"127/354"</f>
        <v>127/354</v>
      </c>
      <c r="G464" t="s">
        <v>331</v>
      </c>
      <c r="H464" t="s">
        <v>7662</v>
      </c>
      <c r="I464">
        <v>31.43</v>
      </c>
    </row>
    <row r="465" spans="1:9" ht="12.75">
      <c r="A465">
        <v>451</v>
      </c>
      <c r="B465" t="s">
        <v>7663</v>
      </c>
      <c r="C465" t="s">
        <v>7664</v>
      </c>
      <c r="D465" t="s">
        <v>3031</v>
      </c>
      <c r="E465" t="s">
        <v>3244</v>
      </c>
      <c r="F465" t="str">
        <f>"7/40"</f>
        <v>7/40</v>
      </c>
      <c r="G465" t="s">
        <v>2982</v>
      </c>
      <c r="H465" t="s">
        <v>7665</v>
      </c>
      <c r="I465">
        <v>31.43</v>
      </c>
    </row>
    <row r="466" spans="1:9" ht="12.75">
      <c r="A466">
        <v>452</v>
      </c>
      <c r="B466" t="s">
        <v>5306</v>
      </c>
      <c r="C466" t="s">
        <v>2966</v>
      </c>
      <c r="D466" t="s">
        <v>2780</v>
      </c>
      <c r="E466" t="s">
        <v>2823</v>
      </c>
      <c r="F466" t="str">
        <f>"170/668"</f>
        <v>170/668</v>
      </c>
      <c r="G466" t="s">
        <v>3338</v>
      </c>
      <c r="H466" t="s">
        <v>7666</v>
      </c>
      <c r="I466">
        <v>31.43</v>
      </c>
    </row>
    <row r="467" spans="1:9" ht="12.75">
      <c r="A467">
        <v>453</v>
      </c>
      <c r="B467" t="s">
        <v>7667</v>
      </c>
      <c r="C467" t="s">
        <v>3633</v>
      </c>
      <c r="D467" t="s">
        <v>2780</v>
      </c>
      <c r="E467" t="s">
        <v>2823</v>
      </c>
      <c r="F467" t="str">
        <f>"171/668"</f>
        <v>171/668</v>
      </c>
      <c r="G467" t="s">
        <v>7520</v>
      </c>
      <c r="H467" t="s">
        <v>7668</v>
      </c>
      <c r="I467">
        <v>31.41</v>
      </c>
    </row>
    <row r="468" spans="1:9" ht="12.75">
      <c r="A468">
        <v>454</v>
      </c>
      <c r="B468" t="s">
        <v>7669</v>
      </c>
      <c r="C468" t="s">
        <v>4894</v>
      </c>
      <c r="D468" t="s">
        <v>2780</v>
      </c>
      <c r="E468" t="s">
        <v>2781</v>
      </c>
      <c r="F468" t="str">
        <f>"128/354"</f>
        <v>128/354</v>
      </c>
      <c r="G468" t="s">
        <v>2974</v>
      </c>
      <c r="H468" t="s">
        <v>7670</v>
      </c>
      <c r="I468">
        <v>31.4</v>
      </c>
    </row>
    <row r="469" spans="1:9" ht="12.75">
      <c r="A469">
        <v>455</v>
      </c>
      <c r="B469" t="s">
        <v>7671</v>
      </c>
      <c r="C469" t="s">
        <v>3192</v>
      </c>
      <c r="D469" t="s">
        <v>2780</v>
      </c>
      <c r="E469" t="s">
        <v>2818</v>
      </c>
      <c r="F469" t="str">
        <f>"52/380"</f>
        <v>52/380</v>
      </c>
      <c r="G469" t="s">
        <v>7672</v>
      </c>
      <c r="H469" t="s">
        <v>7673</v>
      </c>
      <c r="I469">
        <v>31.4</v>
      </c>
    </row>
    <row r="470" spans="1:9" ht="12.75">
      <c r="A470">
        <v>456</v>
      </c>
      <c r="B470" t="s">
        <v>7674</v>
      </c>
      <c r="C470" t="s">
        <v>3057</v>
      </c>
      <c r="D470" t="s">
        <v>2780</v>
      </c>
      <c r="E470" t="s">
        <v>2823</v>
      </c>
      <c r="F470" t="str">
        <f>"172/668"</f>
        <v>172/668</v>
      </c>
      <c r="G470" t="s">
        <v>3516</v>
      </c>
      <c r="H470" t="s">
        <v>7675</v>
      </c>
      <c r="I470">
        <v>31.4</v>
      </c>
    </row>
    <row r="471" spans="1:9" ht="12.75">
      <c r="A471">
        <v>457</v>
      </c>
      <c r="B471" t="s">
        <v>7676</v>
      </c>
      <c r="C471" t="s">
        <v>2830</v>
      </c>
      <c r="D471" t="s">
        <v>2780</v>
      </c>
      <c r="E471" t="s">
        <v>2818</v>
      </c>
      <c r="F471" t="str">
        <f>"53/380"</f>
        <v>53/380</v>
      </c>
      <c r="G471" t="s">
        <v>2889</v>
      </c>
      <c r="H471" t="s">
        <v>7677</v>
      </c>
      <c r="I471">
        <v>31.4</v>
      </c>
    </row>
    <row r="472" spans="1:9" ht="12.75">
      <c r="A472">
        <v>458</v>
      </c>
      <c r="B472" t="s">
        <v>7678</v>
      </c>
      <c r="C472" t="s">
        <v>3421</v>
      </c>
      <c r="D472" t="s">
        <v>2780</v>
      </c>
      <c r="E472" t="s">
        <v>2818</v>
      </c>
      <c r="F472" t="str">
        <f>"54/380"</f>
        <v>54/380</v>
      </c>
      <c r="G472" t="s">
        <v>3338</v>
      </c>
      <c r="H472" t="s">
        <v>7679</v>
      </c>
      <c r="I472">
        <v>31.39</v>
      </c>
    </row>
    <row r="473" spans="1:9" ht="12.75">
      <c r="A473">
        <v>459</v>
      </c>
      <c r="B473" t="s">
        <v>5618</v>
      </c>
      <c r="C473" t="s">
        <v>2836</v>
      </c>
      <c r="D473" t="s">
        <v>2780</v>
      </c>
      <c r="E473" t="s">
        <v>2781</v>
      </c>
      <c r="F473" t="str">
        <f>"129/354"</f>
        <v>129/354</v>
      </c>
      <c r="G473" t="s">
        <v>314</v>
      </c>
      <c r="H473" t="s">
        <v>7680</v>
      </c>
      <c r="I473">
        <v>31.39</v>
      </c>
    </row>
    <row r="474" spans="1:9" ht="12.75">
      <c r="A474">
        <v>460</v>
      </c>
      <c r="B474" t="s">
        <v>7681</v>
      </c>
      <c r="C474" t="s">
        <v>7682</v>
      </c>
      <c r="D474" t="s">
        <v>2780</v>
      </c>
      <c r="E474" t="s">
        <v>2823</v>
      </c>
      <c r="F474" t="str">
        <f>"173/668"</f>
        <v>173/668</v>
      </c>
      <c r="G474" t="s">
        <v>3060</v>
      </c>
      <c r="H474" t="s">
        <v>7683</v>
      </c>
      <c r="I474">
        <v>31.38</v>
      </c>
    </row>
    <row r="475" spans="1:9" ht="12.75">
      <c r="A475">
        <v>461</v>
      </c>
      <c r="B475" t="s">
        <v>7684</v>
      </c>
      <c r="C475" t="s">
        <v>54</v>
      </c>
      <c r="D475" t="s">
        <v>2780</v>
      </c>
      <c r="E475" t="s">
        <v>2823</v>
      </c>
      <c r="F475" t="str">
        <f>"174/668"</f>
        <v>174/668</v>
      </c>
      <c r="G475" t="s">
        <v>7685</v>
      </c>
      <c r="H475" t="s">
        <v>7686</v>
      </c>
      <c r="I475">
        <v>31.38</v>
      </c>
    </row>
    <row r="476" spans="1:9" ht="12.75">
      <c r="A476">
        <v>462</v>
      </c>
      <c r="B476" t="s">
        <v>1993</v>
      </c>
      <c r="C476" t="s">
        <v>2861</v>
      </c>
      <c r="D476" t="s">
        <v>2780</v>
      </c>
      <c r="E476" t="s">
        <v>2823</v>
      </c>
      <c r="F476" t="str">
        <f>"175/668"</f>
        <v>175/668</v>
      </c>
      <c r="G476" t="s">
        <v>1626</v>
      </c>
      <c r="H476" t="s">
        <v>7687</v>
      </c>
      <c r="I476">
        <v>31.37</v>
      </c>
    </row>
    <row r="477" spans="1:9" ht="12.75">
      <c r="A477">
        <v>463</v>
      </c>
      <c r="B477" t="s">
        <v>2727</v>
      </c>
      <c r="C477" t="s">
        <v>2963</v>
      </c>
      <c r="D477" t="s">
        <v>2780</v>
      </c>
      <c r="E477" t="s">
        <v>2781</v>
      </c>
      <c r="F477" t="str">
        <f>"130/354"</f>
        <v>130/354</v>
      </c>
      <c r="G477" t="s">
        <v>2851</v>
      </c>
      <c r="H477" t="s">
        <v>7688</v>
      </c>
      <c r="I477">
        <v>31.36</v>
      </c>
    </row>
    <row r="478" spans="1:9" ht="12.75">
      <c r="A478">
        <v>464</v>
      </c>
      <c r="B478" t="s">
        <v>7689</v>
      </c>
      <c r="C478" t="s">
        <v>2865</v>
      </c>
      <c r="D478" t="s">
        <v>2780</v>
      </c>
      <c r="E478" t="s">
        <v>2823</v>
      </c>
      <c r="F478" t="str">
        <f>"176/668"</f>
        <v>176/668</v>
      </c>
      <c r="G478" t="s">
        <v>3261</v>
      </c>
      <c r="H478" t="s">
        <v>7690</v>
      </c>
      <c r="I478">
        <v>31.35</v>
      </c>
    </row>
    <row r="479" spans="1:9" ht="12.75">
      <c r="A479">
        <v>465</v>
      </c>
      <c r="B479" t="s">
        <v>7691</v>
      </c>
      <c r="C479" t="s">
        <v>7692</v>
      </c>
      <c r="D479" t="s">
        <v>2780</v>
      </c>
      <c r="E479" t="s">
        <v>2781</v>
      </c>
      <c r="F479" t="str">
        <f>"131/354"</f>
        <v>131/354</v>
      </c>
      <c r="G479" t="s">
        <v>3261</v>
      </c>
      <c r="H479" t="s">
        <v>7693</v>
      </c>
      <c r="I479">
        <v>31.34</v>
      </c>
    </row>
    <row r="480" spans="1:9" ht="12.75">
      <c r="A480">
        <v>466</v>
      </c>
      <c r="B480" t="s">
        <v>7694</v>
      </c>
      <c r="C480" t="s">
        <v>742</v>
      </c>
      <c r="D480" t="s">
        <v>2780</v>
      </c>
      <c r="E480" t="s">
        <v>2823</v>
      </c>
      <c r="F480" t="str">
        <f>"177/668"</f>
        <v>177/668</v>
      </c>
      <c r="G480" t="s">
        <v>3338</v>
      </c>
      <c r="H480" t="s">
        <v>7695</v>
      </c>
      <c r="I480">
        <v>31.34</v>
      </c>
    </row>
    <row r="481" spans="1:9" ht="12.75">
      <c r="A481">
        <v>467</v>
      </c>
      <c r="B481" t="s">
        <v>5764</v>
      </c>
      <c r="C481" t="s">
        <v>3102</v>
      </c>
      <c r="D481" t="s">
        <v>2780</v>
      </c>
      <c r="E481" t="s">
        <v>2823</v>
      </c>
      <c r="F481" t="str">
        <f>"178/668"</f>
        <v>178/668</v>
      </c>
      <c r="G481" t="s">
        <v>3018</v>
      </c>
      <c r="H481" t="s">
        <v>7696</v>
      </c>
      <c r="I481">
        <v>31.32</v>
      </c>
    </row>
    <row r="482" spans="1:9" ht="12.75">
      <c r="A482">
        <v>468</v>
      </c>
      <c r="B482" t="s">
        <v>2346</v>
      </c>
      <c r="C482" t="s">
        <v>2895</v>
      </c>
      <c r="D482" t="s">
        <v>2780</v>
      </c>
      <c r="E482" t="s">
        <v>2799</v>
      </c>
      <c r="F482" t="str">
        <f>"41/100"</f>
        <v>41/100</v>
      </c>
      <c r="G482" t="s">
        <v>3261</v>
      </c>
      <c r="H482" t="s">
        <v>7697</v>
      </c>
      <c r="I482">
        <v>31.32</v>
      </c>
    </row>
    <row r="483" spans="1:9" ht="12.75">
      <c r="A483">
        <v>469</v>
      </c>
      <c r="B483" t="s">
        <v>7698</v>
      </c>
      <c r="C483" t="s">
        <v>3464</v>
      </c>
      <c r="D483" t="s">
        <v>2780</v>
      </c>
      <c r="E483" t="s">
        <v>2818</v>
      </c>
      <c r="F483" t="str">
        <f>"55/380"</f>
        <v>55/380</v>
      </c>
      <c r="G483" t="s">
        <v>3261</v>
      </c>
      <c r="H483" t="s">
        <v>7699</v>
      </c>
      <c r="I483">
        <v>31.31</v>
      </c>
    </row>
    <row r="484" spans="1:9" ht="12.75">
      <c r="A484">
        <v>470</v>
      </c>
      <c r="B484" t="s">
        <v>7700</v>
      </c>
      <c r="C484" t="s">
        <v>2826</v>
      </c>
      <c r="D484" t="s">
        <v>2780</v>
      </c>
      <c r="E484" t="s">
        <v>2799</v>
      </c>
      <c r="F484" t="str">
        <f>"42/100"</f>
        <v>42/100</v>
      </c>
      <c r="G484" t="s">
        <v>3018</v>
      </c>
      <c r="H484" t="s">
        <v>7701</v>
      </c>
      <c r="I484">
        <v>31.31</v>
      </c>
    </row>
    <row r="485" spans="1:9" ht="12.75">
      <c r="A485">
        <v>471</v>
      </c>
      <c r="B485" t="s">
        <v>7702</v>
      </c>
      <c r="C485" t="s">
        <v>2991</v>
      </c>
      <c r="D485" t="s">
        <v>2780</v>
      </c>
      <c r="E485" t="s">
        <v>2973</v>
      </c>
      <c r="F485" t="str">
        <f>"15/147"</f>
        <v>15/147</v>
      </c>
      <c r="G485" t="s">
        <v>7703</v>
      </c>
      <c r="H485" t="s">
        <v>7704</v>
      </c>
      <c r="I485">
        <v>31.3</v>
      </c>
    </row>
    <row r="486" spans="1:9" ht="12.75">
      <c r="A486">
        <v>472</v>
      </c>
      <c r="B486" t="s">
        <v>3447</v>
      </c>
      <c r="C486" t="s">
        <v>2861</v>
      </c>
      <c r="D486" t="s">
        <v>2780</v>
      </c>
      <c r="E486" t="s">
        <v>2823</v>
      </c>
      <c r="F486" t="str">
        <f>"179/668"</f>
        <v>179/668</v>
      </c>
      <c r="G486" t="s">
        <v>3168</v>
      </c>
      <c r="H486" t="s">
        <v>7705</v>
      </c>
      <c r="I486">
        <v>31.3</v>
      </c>
    </row>
    <row r="487" spans="1:9" ht="12.75">
      <c r="A487">
        <v>473</v>
      </c>
      <c r="B487" t="s">
        <v>3167</v>
      </c>
      <c r="C487" t="s">
        <v>2830</v>
      </c>
      <c r="D487" t="s">
        <v>2780</v>
      </c>
      <c r="E487" t="s">
        <v>2973</v>
      </c>
      <c r="F487" t="str">
        <f>"16/147"</f>
        <v>16/147</v>
      </c>
      <c r="G487" t="s">
        <v>3168</v>
      </c>
      <c r="H487" t="s">
        <v>7706</v>
      </c>
      <c r="I487">
        <v>31.3</v>
      </c>
    </row>
    <row r="488" spans="1:9" ht="12.75">
      <c r="A488">
        <v>474</v>
      </c>
      <c r="B488" t="s">
        <v>7707</v>
      </c>
      <c r="C488" t="s">
        <v>2840</v>
      </c>
      <c r="D488" t="s">
        <v>2780</v>
      </c>
      <c r="E488" t="s">
        <v>2818</v>
      </c>
      <c r="F488" t="str">
        <f>"56/380"</f>
        <v>56/380</v>
      </c>
      <c r="G488" t="s">
        <v>7708</v>
      </c>
      <c r="H488" t="s">
        <v>7709</v>
      </c>
      <c r="I488">
        <v>31.29</v>
      </c>
    </row>
    <row r="489" spans="1:9" ht="12.75">
      <c r="A489">
        <v>475</v>
      </c>
      <c r="B489" t="s">
        <v>7710</v>
      </c>
      <c r="C489" t="s">
        <v>7711</v>
      </c>
      <c r="D489" t="s">
        <v>2780</v>
      </c>
      <c r="E489" t="s">
        <v>2823</v>
      </c>
      <c r="F489" t="str">
        <f>"180/668"</f>
        <v>180/668</v>
      </c>
      <c r="G489" t="s">
        <v>3261</v>
      </c>
      <c r="H489" t="s">
        <v>7712</v>
      </c>
      <c r="I489">
        <v>31.29</v>
      </c>
    </row>
    <row r="490" spans="1:9" s="1" customFormat="1" ht="12.75">
      <c r="A490" s="1">
        <v>476</v>
      </c>
      <c r="B490" s="1" t="s">
        <v>2393</v>
      </c>
      <c r="C490" s="1" t="s">
        <v>2857</v>
      </c>
      <c r="D490" s="1" t="s">
        <v>2780</v>
      </c>
      <c r="E490" s="1" t="s">
        <v>2781</v>
      </c>
      <c r="F490" s="1" t="str">
        <f>"132/354"</f>
        <v>132/354</v>
      </c>
      <c r="G490" s="1" t="s">
        <v>5536</v>
      </c>
      <c r="H490" s="1" t="s">
        <v>7713</v>
      </c>
      <c r="I490" s="1">
        <v>31.29</v>
      </c>
    </row>
    <row r="491" spans="1:9" ht="12.75">
      <c r="A491">
        <v>477</v>
      </c>
      <c r="B491" t="s">
        <v>3246</v>
      </c>
      <c r="C491" t="s">
        <v>353</v>
      </c>
      <c r="D491" t="s">
        <v>2780</v>
      </c>
      <c r="E491" t="s">
        <v>2818</v>
      </c>
      <c r="F491" t="str">
        <f>"57/380"</f>
        <v>57/380</v>
      </c>
      <c r="G491" t="s">
        <v>3206</v>
      </c>
      <c r="H491" t="s">
        <v>7714</v>
      </c>
      <c r="I491">
        <v>31.28</v>
      </c>
    </row>
    <row r="492" spans="1:9" ht="12.75">
      <c r="A492">
        <v>478</v>
      </c>
      <c r="B492" t="s">
        <v>3378</v>
      </c>
      <c r="C492" t="s">
        <v>3008</v>
      </c>
      <c r="D492" t="s">
        <v>2780</v>
      </c>
      <c r="E492" t="s">
        <v>2781</v>
      </c>
      <c r="F492" t="str">
        <f>"133/354"</f>
        <v>133/354</v>
      </c>
      <c r="G492" t="s">
        <v>7715</v>
      </c>
      <c r="H492" t="s">
        <v>7716</v>
      </c>
      <c r="I492">
        <v>31.28</v>
      </c>
    </row>
    <row r="493" spans="1:9" ht="12.75">
      <c r="A493">
        <v>479</v>
      </c>
      <c r="B493" t="s">
        <v>7717</v>
      </c>
      <c r="C493" t="s">
        <v>2906</v>
      </c>
      <c r="D493" t="s">
        <v>2780</v>
      </c>
      <c r="E493" t="s">
        <v>2823</v>
      </c>
      <c r="F493" t="str">
        <f>"181/668"</f>
        <v>181/668</v>
      </c>
      <c r="G493" t="s">
        <v>5391</v>
      </c>
      <c r="H493" t="s">
        <v>7718</v>
      </c>
      <c r="I493">
        <v>31.27</v>
      </c>
    </row>
    <row r="494" spans="1:9" ht="12.75">
      <c r="A494">
        <v>480</v>
      </c>
      <c r="B494" t="s">
        <v>7719</v>
      </c>
      <c r="C494" t="s">
        <v>2826</v>
      </c>
      <c r="D494" t="s">
        <v>2780</v>
      </c>
      <c r="E494" t="s">
        <v>2781</v>
      </c>
      <c r="F494" t="str">
        <f>"134/354"</f>
        <v>134/354</v>
      </c>
      <c r="G494" t="s">
        <v>7720</v>
      </c>
      <c r="H494" t="s">
        <v>7721</v>
      </c>
      <c r="I494">
        <v>31.26</v>
      </c>
    </row>
    <row r="495" spans="1:9" ht="12.75">
      <c r="A495">
        <v>481</v>
      </c>
      <c r="B495" t="s">
        <v>7722</v>
      </c>
      <c r="C495" t="s">
        <v>2963</v>
      </c>
      <c r="D495" t="s">
        <v>2780</v>
      </c>
      <c r="E495" t="s">
        <v>2823</v>
      </c>
      <c r="F495" t="str">
        <f>"182/668"</f>
        <v>182/668</v>
      </c>
      <c r="G495" t="s">
        <v>7723</v>
      </c>
      <c r="H495" t="s">
        <v>7724</v>
      </c>
      <c r="I495">
        <v>31.25</v>
      </c>
    </row>
    <row r="496" spans="1:9" ht="12.75">
      <c r="A496">
        <v>482</v>
      </c>
      <c r="B496" t="s">
        <v>7725</v>
      </c>
      <c r="C496" t="s">
        <v>2779</v>
      </c>
      <c r="D496" t="s">
        <v>2780</v>
      </c>
      <c r="E496" t="s">
        <v>2818</v>
      </c>
      <c r="F496" t="str">
        <f>"58/380"</f>
        <v>58/380</v>
      </c>
      <c r="G496" t="s">
        <v>2617</v>
      </c>
      <c r="H496" t="s">
        <v>7726</v>
      </c>
      <c r="I496">
        <v>31.25</v>
      </c>
    </row>
    <row r="497" spans="1:9" ht="12.75">
      <c r="A497">
        <v>483</v>
      </c>
      <c r="B497" t="s">
        <v>7727</v>
      </c>
      <c r="C497" t="s">
        <v>3008</v>
      </c>
      <c r="D497" t="s">
        <v>2780</v>
      </c>
      <c r="E497" t="s">
        <v>2781</v>
      </c>
      <c r="F497" t="str">
        <f>"135/354"</f>
        <v>135/354</v>
      </c>
      <c r="G497" t="s">
        <v>7728</v>
      </c>
      <c r="H497" t="s">
        <v>7729</v>
      </c>
      <c r="I497">
        <v>31.25</v>
      </c>
    </row>
    <row r="498" spans="1:9" ht="12.75">
      <c r="A498">
        <v>484</v>
      </c>
      <c r="B498" t="s">
        <v>7730</v>
      </c>
      <c r="C498" t="s">
        <v>3017</v>
      </c>
      <c r="D498" t="s">
        <v>2780</v>
      </c>
      <c r="E498" t="s">
        <v>2823</v>
      </c>
      <c r="F498" t="str">
        <f>"183/668"</f>
        <v>183/668</v>
      </c>
      <c r="G498" t="s">
        <v>7731</v>
      </c>
      <c r="H498" t="s">
        <v>7732</v>
      </c>
      <c r="I498">
        <v>31.25</v>
      </c>
    </row>
    <row r="499" spans="1:9" ht="12.75">
      <c r="A499">
        <v>485</v>
      </c>
      <c r="B499" t="s">
        <v>3336</v>
      </c>
      <c r="C499" t="s">
        <v>3438</v>
      </c>
      <c r="D499" t="s">
        <v>2780</v>
      </c>
      <c r="E499" t="s">
        <v>2781</v>
      </c>
      <c r="F499" t="str">
        <f>"136/354"</f>
        <v>136/354</v>
      </c>
      <c r="G499" t="s">
        <v>7733</v>
      </c>
      <c r="H499" t="s">
        <v>7734</v>
      </c>
      <c r="I499">
        <v>31.24</v>
      </c>
    </row>
    <row r="500" spans="1:9" ht="12.75">
      <c r="A500">
        <v>486</v>
      </c>
      <c r="B500" t="s">
        <v>7735</v>
      </c>
      <c r="C500" t="s">
        <v>2814</v>
      </c>
      <c r="D500" t="s">
        <v>2780</v>
      </c>
      <c r="E500" t="s">
        <v>2823</v>
      </c>
      <c r="F500" t="str">
        <f>"184/668"</f>
        <v>184/668</v>
      </c>
      <c r="G500" t="s">
        <v>526</v>
      </c>
      <c r="H500" t="s">
        <v>7736</v>
      </c>
      <c r="I500">
        <v>31.24</v>
      </c>
    </row>
    <row r="501" spans="1:9" ht="12.75">
      <c r="A501">
        <v>487</v>
      </c>
      <c r="B501" t="s">
        <v>7737</v>
      </c>
      <c r="C501" t="s">
        <v>7738</v>
      </c>
      <c r="D501" t="s">
        <v>2780</v>
      </c>
      <c r="E501" t="s">
        <v>2786</v>
      </c>
      <c r="F501" t="str">
        <f>"21/44"</f>
        <v>21/44</v>
      </c>
      <c r="G501" t="s">
        <v>59</v>
      </c>
      <c r="H501" t="s">
        <v>7739</v>
      </c>
      <c r="I501">
        <v>31.24</v>
      </c>
    </row>
    <row r="502" spans="1:9" ht="12.75">
      <c r="A502">
        <v>488</v>
      </c>
      <c r="B502" t="s">
        <v>817</v>
      </c>
      <c r="C502" t="s">
        <v>43</v>
      </c>
      <c r="D502" t="s">
        <v>2780</v>
      </c>
      <c r="E502" t="s">
        <v>2818</v>
      </c>
      <c r="F502" t="str">
        <f>"59/380"</f>
        <v>59/380</v>
      </c>
      <c r="G502" t="s">
        <v>2994</v>
      </c>
      <c r="H502" t="s">
        <v>7740</v>
      </c>
      <c r="I502">
        <v>31.23</v>
      </c>
    </row>
    <row r="503" spans="1:9" ht="12.75">
      <c r="A503">
        <v>489</v>
      </c>
      <c r="B503" t="s">
        <v>2642</v>
      </c>
      <c r="C503" t="s">
        <v>2991</v>
      </c>
      <c r="D503" t="s">
        <v>2780</v>
      </c>
      <c r="E503" t="s">
        <v>2799</v>
      </c>
      <c r="F503" t="str">
        <f>"43/100"</f>
        <v>43/100</v>
      </c>
      <c r="G503" t="s">
        <v>2617</v>
      </c>
      <c r="H503" t="s">
        <v>7741</v>
      </c>
      <c r="I503">
        <v>31.22</v>
      </c>
    </row>
    <row r="504" spans="1:9" ht="12.75">
      <c r="A504">
        <v>490</v>
      </c>
      <c r="B504" t="s">
        <v>7742</v>
      </c>
      <c r="C504" t="s">
        <v>3471</v>
      </c>
      <c r="D504" t="s">
        <v>2780</v>
      </c>
      <c r="E504" t="s">
        <v>2818</v>
      </c>
      <c r="F504" t="str">
        <f>"60/380"</f>
        <v>60/380</v>
      </c>
      <c r="G504" t="s">
        <v>7743</v>
      </c>
      <c r="H504" t="s">
        <v>7744</v>
      </c>
      <c r="I504">
        <v>31.22</v>
      </c>
    </row>
    <row r="505" spans="1:9" ht="12.75">
      <c r="A505">
        <v>491</v>
      </c>
      <c r="B505" t="s">
        <v>7745</v>
      </c>
      <c r="C505" t="s">
        <v>2963</v>
      </c>
      <c r="D505" t="s">
        <v>2780</v>
      </c>
      <c r="E505" t="s">
        <v>2781</v>
      </c>
      <c r="F505" t="str">
        <f>"137/354"</f>
        <v>137/354</v>
      </c>
      <c r="G505" t="s">
        <v>7746</v>
      </c>
      <c r="H505" t="s">
        <v>7747</v>
      </c>
      <c r="I505">
        <v>31.21</v>
      </c>
    </row>
    <row r="506" spans="1:9" ht="12.75">
      <c r="A506">
        <v>492</v>
      </c>
      <c r="B506" t="s">
        <v>7748</v>
      </c>
      <c r="C506" t="s">
        <v>2826</v>
      </c>
      <c r="D506" t="s">
        <v>2780</v>
      </c>
      <c r="E506" t="s">
        <v>2973</v>
      </c>
      <c r="F506" t="str">
        <f>"17/147"</f>
        <v>17/147</v>
      </c>
      <c r="G506" t="s">
        <v>3535</v>
      </c>
      <c r="H506" t="s">
        <v>7749</v>
      </c>
      <c r="I506">
        <v>31.21</v>
      </c>
    </row>
    <row r="507" spans="1:9" ht="12.75">
      <c r="A507">
        <v>493</v>
      </c>
      <c r="B507" t="s">
        <v>5514</v>
      </c>
      <c r="C507" t="s">
        <v>401</v>
      </c>
      <c r="D507" t="s">
        <v>2780</v>
      </c>
      <c r="E507" t="s">
        <v>2823</v>
      </c>
      <c r="F507" t="str">
        <f>"185/668"</f>
        <v>185/668</v>
      </c>
      <c r="G507" t="s">
        <v>7750</v>
      </c>
      <c r="H507" t="s">
        <v>7751</v>
      </c>
      <c r="I507">
        <v>31.2</v>
      </c>
    </row>
    <row r="508" spans="1:9" ht="12.75">
      <c r="A508">
        <v>494</v>
      </c>
      <c r="B508" t="s">
        <v>7752</v>
      </c>
      <c r="C508" t="s">
        <v>7753</v>
      </c>
      <c r="D508" t="s">
        <v>2780</v>
      </c>
      <c r="E508" t="s">
        <v>2823</v>
      </c>
      <c r="F508" t="str">
        <f>"186/668"</f>
        <v>186/668</v>
      </c>
      <c r="G508" t="s">
        <v>7011</v>
      </c>
      <c r="H508" t="s">
        <v>7754</v>
      </c>
      <c r="I508">
        <v>31.2</v>
      </c>
    </row>
    <row r="509" spans="1:9" ht="12.75">
      <c r="A509">
        <v>495</v>
      </c>
      <c r="B509" t="s">
        <v>7755</v>
      </c>
      <c r="C509" t="s">
        <v>2807</v>
      </c>
      <c r="D509" t="s">
        <v>2780</v>
      </c>
      <c r="E509" t="s">
        <v>2823</v>
      </c>
      <c r="F509" t="str">
        <f>"187/668"</f>
        <v>187/668</v>
      </c>
      <c r="G509" t="s">
        <v>3555</v>
      </c>
      <c r="H509" t="s">
        <v>7756</v>
      </c>
      <c r="I509">
        <v>31.19</v>
      </c>
    </row>
    <row r="510" spans="1:9" ht="12.75">
      <c r="A510">
        <v>496</v>
      </c>
      <c r="B510" t="s">
        <v>7757</v>
      </c>
      <c r="C510" t="s">
        <v>3098</v>
      </c>
      <c r="D510" t="s">
        <v>2780</v>
      </c>
      <c r="E510" t="s">
        <v>2823</v>
      </c>
      <c r="F510" t="str">
        <f>"188/668"</f>
        <v>188/668</v>
      </c>
      <c r="G510" t="s">
        <v>7758</v>
      </c>
      <c r="H510" t="s">
        <v>7759</v>
      </c>
      <c r="I510">
        <v>31.19</v>
      </c>
    </row>
    <row r="511" spans="1:9" ht="12.75">
      <c r="A511">
        <v>497</v>
      </c>
      <c r="B511" t="s">
        <v>7760</v>
      </c>
      <c r="C511" t="s">
        <v>7761</v>
      </c>
      <c r="D511" t="s">
        <v>2780</v>
      </c>
      <c r="E511" t="s">
        <v>3244</v>
      </c>
      <c r="F511" t="str">
        <f>"8/40"</f>
        <v>8/40</v>
      </c>
      <c r="G511" t="s">
        <v>2917</v>
      </c>
      <c r="H511" t="s">
        <v>7762</v>
      </c>
      <c r="I511">
        <v>31.19</v>
      </c>
    </row>
    <row r="512" spans="1:9" ht="12.75">
      <c r="A512">
        <v>498</v>
      </c>
      <c r="B512" t="s">
        <v>7337</v>
      </c>
      <c r="C512" t="s">
        <v>7763</v>
      </c>
      <c r="D512" t="s">
        <v>2780</v>
      </c>
      <c r="E512" t="s">
        <v>2823</v>
      </c>
      <c r="F512" t="str">
        <f>"189/668"</f>
        <v>189/668</v>
      </c>
      <c r="G512" t="s">
        <v>3217</v>
      </c>
      <c r="H512" t="s">
        <v>7764</v>
      </c>
      <c r="I512">
        <v>31.18</v>
      </c>
    </row>
    <row r="513" spans="1:9" ht="12.75">
      <c r="A513">
        <v>499</v>
      </c>
      <c r="B513" t="s">
        <v>6994</v>
      </c>
      <c r="C513" t="s">
        <v>2942</v>
      </c>
      <c r="D513" t="s">
        <v>2780</v>
      </c>
      <c r="E513" t="s">
        <v>2823</v>
      </c>
      <c r="F513" t="str">
        <f>"190/668"</f>
        <v>190/668</v>
      </c>
      <c r="G513" t="s">
        <v>7765</v>
      </c>
      <c r="H513" t="s">
        <v>7766</v>
      </c>
      <c r="I513">
        <v>31.17</v>
      </c>
    </row>
    <row r="514" spans="1:9" ht="12.75">
      <c r="A514">
        <v>500</v>
      </c>
      <c r="B514" t="s">
        <v>7767</v>
      </c>
      <c r="C514" t="s">
        <v>2817</v>
      </c>
      <c r="D514" t="s">
        <v>2780</v>
      </c>
      <c r="E514" t="s">
        <v>2818</v>
      </c>
      <c r="F514" t="str">
        <f>"61/380"</f>
        <v>61/380</v>
      </c>
      <c r="G514" t="s">
        <v>4882</v>
      </c>
      <c r="H514" t="s">
        <v>7768</v>
      </c>
      <c r="I514">
        <v>31.17</v>
      </c>
    </row>
    <row r="515" spans="1:9" ht="12.75">
      <c r="A515">
        <v>501</v>
      </c>
      <c r="B515" t="s">
        <v>7769</v>
      </c>
      <c r="C515" t="s">
        <v>615</v>
      </c>
      <c r="D515" t="s">
        <v>2780</v>
      </c>
      <c r="E515" t="s">
        <v>2823</v>
      </c>
      <c r="F515" t="str">
        <f>"191/668"</f>
        <v>191/668</v>
      </c>
      <c r="G515" t="s">
        <v>3261</v>
      </c>
      <c r="H515" t="s">
        <v>7770</v>
      </c>
      <c r="I515">
        <v>31.17</v>
      </c>
    </row>
    <row r="516" spans="1:9" ht="12.75">
      <c r="A516">
        <v>502</v>
      </c>
      <c r="B516" t="s">
        <v>7771</v>
      </c>
      <c r="C516" t="s">
        <v>2830</v>
      </c>
      <c r="D516" t="s">
        <v>2780</v>
      </c>
      <c r="E516" t="s">
        <v>2823</v>
      </c>
      <c r="F516" t="str">
        <f>"192/668"</f>
        <v>192/668</v>
      </c>
      <c r="G516" t="s">
        <v>81</v>
      </c>
      <c r="H516" t="s">
        <v>7772</v>
      </c>
      <c r="I516">
        <v>31.17</v>
      </c>
    </row>
    <row r="517" spans="1:9" ht="12.75">
      <c r="A517">
        <v>503</v>
      </c>
      <c r="B517" t="s">
        <v>7773</v>
      </c>
      <c r="C517" t="s">
        <v>2857</v>
      </c>
      <c r="D517" t="s">
        <v>2780</v>
      </c>
      <c r="E517" t="s">
        <v>2818</v>
      </c>
      <c r="F517" t="str">
        <f>"62/380"</f>
        <v>62/380</v>
      </c>
      <c r="G517" t="s">
        <v>3046</v>
      </c>
      <c r="H517" t="s">
        <v>7774</v>
      </c>
      <c r="I517">
        <v>31.17</v>
      </c>
    </row>
    <row r="518" spans="1:9" ht="12.75">
      <c r="A518">
        <v>504</v>
      </c>
      <c r="B518" t="s">
        <v>7775</v>
      </c>
      <c r="C518" t="s">
        <v>2951</v>
      </c>
      <c r="D518" t="s">
        <v>2780</v>
      </c>
      <c r="E518" t="s">
        <v>2823</v>
      </c>
      <c r="F518" t="str">
        <f>"193/668"</f>
        <v>193/668</v>
      </c>
      <c r="G518" t="s">
        <v>81</v>
      </c>
      <c r="H518" t="s">
        <v>7776</v>
      </c>
      <c r="I518">
        <v>31.17</v>
      </c>
    </row>
    <row r="519" spans="1:9" ht="12.75">
      <c r="A519">
        <v>505</v>
      </c>
      <c r="B519" t="s">
        <v>7777</v>
      </c>
      <c r="C519" t="s">
        <v>2939</v>
      </c>
      <c r="D519" t="s">
        <v>2780</v>
      </c>
      <c r="E519" t="s">
        <v>2799</v>
      </c>
      <c r="F519" t="str">
        <f>"44/100"</f>
        <v>44/100</v>
      </c>
      <c r="G519" t="s">
        <v>2693</v>
      </c>
      <c r="H519" t="s">
        <v>7778</v>
      </c>
      <c r="I519">
        <v>31.16</v>
      </c>
    </row>
    <row r="520" spans="1:9" ht="12.75">
      <c r="A520">
        <v>506</v>
      </c>
      <c r="B520" t="s">
        <v>7779</v>
      </c>
      <c r="C520" t="s">
        <v>3057</v>
      </c>
      <c r="D520" t="s">
        <v>2780</v>
      </c>
      <c r="E520" t="s">
        <v>2818</v>
      </c>
      <c r="F520" t="str">
        <f>"63/380"</f>
        <v>63/380</v>
      </c>
      <c r="G520" t="s">
        <v>7445</v>
      </c>
      <c r="H520" t="s">
        <v>7780</v>
      </c>
      <c r="I520">
        <v>31.16</v>
      </c>
    </row>
    <row r="521" spans="1:9" ht="12.75">
      <c r="A521">
        <v>507</v>
      </c>
      <c r="B521" t="s">
        <v>7781</v>
      </c>
      <c r="C521" t="s">
        <v>1767</v>
      </c>
      <c r="D521" t="s">
        <v>2780</v>
      </c>
      <c r="E521" t="s">
        <v>2818</v>
      </c>
      <c r="F521" t="str">
        <f>"64/380"</f>
        <v>64/380</v>
      </c>
      <c r="G521" t="s">
        <v>2069</v>
      </c>
      <c r="H521" t="s">
        <v>7782</v>
      </c>
      <c r="I521">
        <v>31.16</v>
      </c>
    </row>
    <row r="522" spans="1:9" ht="12.75">
      <c r="A522">
        <v>508</v>
      </c>
      <c r="B522" t="s">
        <v>7783</v>
      </c>
      <c r="C522" t="s">
        <v>2942</v>
      </c>
      <c r="D522" t="s">
        <v>2780</v>
      </c>
      <c r="E522" t="s">
        <v>3209</v>
      </c>
      <c r="F522" t="str">
        <f>"2/13"</f>
        <v>2/13</v>
      </c>
      <c r="G522" t="s">
        <v>1901</v>
      </c>
      <c r="H522" t="s">
        <v>7784</v>
      </c>
      <c r="I522">
        <v>31.16</v>
      </c>
    </row>
    <row r="523" spans="1:9" ht="12.75">
      <c r="A523">
        <v>509</v>
      </c>
      <c r="B523" t="s">
        <v>7492</v>
      </c>
      <c r="C523" t="s">
        <v>3594</v>
      </c>
      <c r="D523" t="s">
        <v>2780</v>
      </c>
      <c r="E523" t="s">
        <v>3209</v>
      </c>
      <c r="F523" t="str">
        <f>"3/13"</f>
        <v>3/13</v>
      </c>
      <c r="G523" t="s">
        <v>1901</v>
      </c>
      <c r="H523" t="s">
        <v>7785</v>
      </c>
      <c r="I523">
        <v>31.16</v>
      </c>
    </row>
    <row r="524" spans="1:9" ht="12.75">
      <c r="A524">
        <v>510</v>
      </c>
      <c r="B524" t="s">
        <v>7648</v>
      </c>
      <c r="C524" t="s">
        <v>2814</v>
      </c>
      <c r="D524" t="s">
        <v>2780</v>
      </c>
      <c r="E524" t="s">
        <v>2823</v>
      </c>
      <c r="F524" t="str">
        <f>"194/668"</f>
        <v>194/668</v>
      </c>
      <c r="G524" t="s">
        <v>7786</v>
      </c>
      <c r="H524" t="s">
        <v>7787</v>
      </c>
      <c r="I524">
        <v>31.16</v>
      </c>
    </row>
    <row r="525" spans="1:9" ht="12.75">
      <c r="A525">
        <v>511</v>
      </c>
      <c r="B525" t="s">
        <v>7788</v>
      </c>
      <c r="C525" t="s">
        <v>2942</v>
      </c>
      <c r="D525" t="s">
        <v>2780</v>
      </c>
      <c r="E525" t="s">
        <v>2818</v>
      </c>
      <c r="F525" t="str">
        <f>"65/380"</f>
        <v>65/380</v>
      </c>
      <c r="G525" t="s">
        <v>5163</v>
      </c>
      <c r="H525" t="s">
        <v>7789</v>
      </c>
      <c r="I525">
        <v>31.16</v>
      </c>
    </row>
    <row r="526" spans="1:9" ht="12.75">
      <c r="A526">
        <v>512</v>
      </c>
      <c r="B526" t="s">
        <v>1960</v>
      </c>
      <c r="C526" t="s">
        <v>2868</v>
      </c>
      <c r="D526" t="s">
        <v>2780</v>
      </c>
      <c r="E526" t="s">
        <v>2823</v>
      </c>
      <c r="F526" t="str">
        <f>"195/668"</f>
        <v>195/668</v>
      </c>
      <c r="G526" t="s">
        <v>7790</v>
      </c>
      <c r="H526" t="s">
        <v>7791</v>
      </c>
      <c r="I526">
        <v>31.15</v>
      </c>
    </row>
    <row r="527" spans="1:9" ht="12.75">
      <c r="A527">
        <v>513</v>
      </c>
      <c r="B527" t="s">
        <v>7792</v>
      </c>
      <c r="C527" t="s">
        <v>2861</v>
      </c>
      <c r="D527" t="s">
        <v>2780</v>
      </c>
      <c r="E527" t="s">
        <v>2818</v>
      </c>
      <c r="F527" t="str">
        <f>"66/380"</f>
        <v>66/380</v>
      </c>
      <c r="G527" t="s">
        <v>1125</v>
      </c>
      <c r="H527" t="s">
        <v>7793</v>
      </c>
      <c r="I527">
        <v>31.15</v>
      </c>
    </row>
    <row r="528" spans="1:9" ht="12.75">
      <c r="A528">
        <v>514</v>
      </c>
      <c r="B528" t="s">
        <v>7794</v>
      </c>
      <c r="C528" t="s">
        <v>3141</v>
      </c>
      <c r="D528" t="s">
        <v>2780</v>
      </c>
      <c r="E528" t="s">
        <v>2799</v>
      </c>
      <c r="F528" t="str">
        <f>"45/100"</f>
        <v>45/100</v>
      </c>
      <c r="G528" t="s">
        <v>7795</v>
      </c>
      <c r="H528" t="s">
        <v>7796</v>
      </c>
      <c r="I528">
        <v>31.14</v>
      </c>
    </row>
    <row r="529" spans="1:9" ht="12.75">
      <c r="A529">
        <v>515</v>
      </c>
      <c r="B529" t="s">
        <v>7797</v>
      </c>
      <c r="C529" t="s">
        <v>880</v>
      </c>
      <c r="D529" t="s">
        <v>2780</v>
      </c>
      <c r="E529" t="s">
        <v>2823</v>
      </c>
      <c r="F529" t="str">
        <f>"196/668"</f>
        <v>196/668</v>
      </c>
      <c r="G529" t="s">
        <v>7225</v>
      </c>
      <c r="H529" t="s">
        <v>7798</v>
      </c>
      <c r="I529">
        <v>31.14</v>
      </c>
    </row>
    <row r="530" spans="1:9" ht="12.75">
      <c r="A530">
        <v>516</v>
      </c>
      <c r="B530" t="s">
        <v>5758</v>
      </c>
      <c r="C530" t="s">
        <v>465</v>
      </c>
      <c r="D530" t="s">
        <v>3031</v>
      </c>
      <c r="E530" t="s">
        <v>3032</v>
      </c>
      <c r="F530" t="str">
        <f>"6/25"</f>
        <v>6/25</v>
      </c>
      <c r="G530" t="s">
        <v>7795</v>
      </c>
      <c r="H530" t="s">
        <v>7799</v>
      </c>
      <c r="I530">
        <v>31.13</v>
      </c>
    </row>
    <row r="531" spans="1:9" ht="12.75">
      <c r="A531">
        <v>517</v>
      </c>
      <c r="B531" t="s">
        <v>7800</v>
      </c>
      <c r="C531" t="s">
        <v>3201</v>
      </c>
      <c r="D531" t="s">
        <v>2780</v>
      </c>
      <c r="E531" t="s">
        <v>2781</v>
      </c>
      <c r="F531" t="str">
        <f>"138/354"</f>
        <v>138/354</v>
      </c>
      <c r="G531" t="s">
        <v>7419</v>
      </c>
      <c r="H531" t="s">
        <v>7801</v>
      </c>
      <c r="I531">
        <v>31.13</v>
      </c>
    </row>
    <row r="532" spans="1:9" ht="12.75">
      <c r="A532">
        <v>518</v>
      </c>
      <c r="B532" t="s">
        <v>7802</v>
      </c>
      <c r="C532" t="s">
        <v>3087</v>
      </c>
      <c r="D532" t="s">
        <v>2780</v>
      </c>
      <c r="E532" t="s">
        <v>2799</v>
      </c>
      <c r="F532" t="str">
        <f>"46/100"</f>
        <v>46/100</v>
      </c>
      <c r="G532" t="s">
        <v>7497</v>
      </c>
      <c r="H532" t="s">
        <v>7803</v>
      </c>
      <c r="I532">
        <v>31.13</v>
      </c>
    </row>
    <row r="533" spans="1:9" ht="12.75">
      <c r="A533">
        <v>519</v>
      </c>
      <c r="B533" t="s">
        <v>7804</v>
      </c>
      <c r="C533" t="s">
        <v>696</v>
      </c>
      <c r="D533" t="s">
        <v>2780</v>
      </c>
      <c r="E533" t="s">
        <v>2818</v>
      </c>
      <c r="F533" t="str">
        <f>"67/380"</f>
        <v>67/380</v>
      </c>
      <c r="G533" t="s">
        <v>657</v>
      </c>
      <c r="H533" t="s">
        <v>7805</v>
      </c>
      <c r="I533">
        <v>31.12</v>
      </c>
    </row>
    <row r="534" spans="1:9" ht="12.75">
      <c r="A534">
        <v>520</v>
      </c>
      <c r="B534" t="s">
        <v>7806</v>
      </c>
      <c r="C534" t="s">
        <v>3438</v>
      </c>
      <c r="D534" t="s">
        <v>2780</v>
      </c>
      <c r="E534" t="s">
        <v>2818</v>
      </c>
      <c r="F534" t="str">
        <f>"68/380"</f>
        <v>68/380</v>
      </c>
      <c r="G534" t="s">
        <v>3095</v>
      </c>
      <c r="H534" t="s">
        <v>7807</v>
      </c>
      <c r="I534">
        <v>31.11</v>
      </c>
    </row>
    <row r="535" spans="1:9" ht="12.75">
      <c r="A535">
        <v>521</v>
      </c>
      <c r="B535" t="s">
        <v>5109</v>
      </c>
      <c r="C535" t="s">
        <v>2814</v>
      </c>
      <c r="D535" t="s">
        <v>2780</v>
      </c>
      <c r="E535" t="s">
        <v>2799</v>
      </c>
      <c r="F535" t="str">
        <f>"47/100"</f>
        <v>47/100</v>
      </c>
      <c r="G535" t="s">
        <v>5110</v>
      </c>
      <c r="H535" t="s">
        <v>7807</v>
      </c>
      <c r="I535">
        <v>31.11</v>
      </c>
    </row>
    <row r="536" spans="1:9" ht="12.75">
      <c r="A536">
        <v>522</v>
      </c>
      <c r="B536" t="s">
        <v>7808</v>
      </c>
      <c r="C536" t="s">
        <v>2956</v>
      </c>
      <c r="D536" t="s">
        <v>2780</v>
      </c>
      <c r="E536" t="s">
        <v>2818</v>
      </c>
      <c r="F536" t="str">
        <f>"69/380"</f>
        <v>69/380</v>
      </c>
      <c r="G536" t="s">
        <v>2800</v>
      </c>
      <c r="H536" t="s">
        <v>7809</v>
      </c>
      <c r="I536">
        <v>31.1</v>
      </c>
    </row>
    <row r="537" spans="1:9" ht="12.75">
      <c r="A537">
        <v>523</v>
      </c>
      <c r="B537" t="s">
        <v>7810</v>
      </c>
      <c r="C537" t="s">
        <v>761</v>
      </c>
      <c r="D537" t="s">
        <v>2780</v>
      </c>
      <c r="E537" t="s">
        <v>2823</v>
      </c>
      <c r="F537" t="str">
        <f>"197/668"</f>
        <v>197/668</v>
      </c>
      <c r="G537" t="s">
        <v>647</v>
      </c>
      <c r="H537" t="s">
        <v>7811</v>
      </c>
      <c r="I537">
        <v>31.1</v>
      </c>
    </row>
    <row r="538" spans="1:9" ht="12.75">
      <c r="A538">
        <v>524</v>
      </c>
      <c r="B538" t="s">
        <v>1066</v>
      </c>
      <c r="C538" t="s">
        <v>3421</v>
      </c>
      <c r="D538" t="s">
        <v>2780</v>
      </c>
      <c r="E538" t="s">
        <v>2823</v>
      </c>
      <c r="F538" t="str">
        <f>"198/668"</f>
        <v>198/668</v>
      </c>
      <c r="G538" t="s">
        <v>416</v>
      </c>
      <c r="H538" t="s">
        <v>7812</v>
      </c>
      <c r="I538">
        <v>31.09</v>
      </c>
    </row>
    <row r="539" spans="1:9" ht="12.75">
      <c r="A539">
        <v>525</v>
      </c>
      <c r="B539" t="s">
        <v>939</v>
      </c>
      <c r="C539" t="s">
        <v>2963</v>
      </c>
      <c r="D539" t="s">
        <v>2780</v>
      </c>
      <c r="E539" t="s">
        <v>2799</v>
      </c>
      <c r="F539" t="str">
        <f>"48/100"</f>
        <v>48/100</v>
      </c>
      <c r="G539" t="s">
        <v>2804</v>
      </c>
      <c r="H539" t="s">
        <v>7813</v>
      </c>
      <c r="I539">
        <v>31.09</v>
      </c>
    </row>
    <row r="540" spans="1:9" ht="12.75">
      <c r="A540">
        <v>526</v>
      </c>
      <c r="B540" t="s">
        <v>7814</v>
      </c>
      <c r="C540" t="s">
        <v>2807</v>
      </c>
      <c r="D540" t="s">
        <v>2780</v>
      </c>
      <c r="E540" t="s">
        <v>2781</v>
      </c>
      <c r="F540" t="str">
        <f>"139/354"</f>
        <v>139/354</v>
      </c>
      <c r="G540" t="s">
        <v>2804</v>
      </c>
      <c r="H540" t="s">
        <v>7813</v>
      </c>
      <c r="I540">
        <v>31.09</v>
      </c>
    </row>
    <row r="541" spans="1:9" ht="12.75">
      <c r="A541">
        <v>527</v>
      </c>
      <c r="B541" t="s">
        <v>7303</v>
      </c>
      <c r="C541" t="s">
        <v>3286</v>
      </c>
      <c r="D541" t="s">
        <v>2780</v>
      </c>
      <c r="E541" t="s">
        <v>2823</v>
      </c>
      <c r="F541" t="str">
        <f>"199/668"</f>
        <v>199/668</v>
      </c>
      <c r="G541" t="s">
        <v>4989</v>
      </c>
      <c r="H541" t="s">
        <v>7813</v>
      </c>
      <c r="I541">
        <v>31.09</v>
      </c>
    </row>
    <row r="542" spans="1:9" ht="12.75">
      <c r="A542">
        <v>528</v>
      </c>
      <c r="B542" t="s">
        <v>7815</v>
      </c>
      <c r="C542" t="s">
        <v>2991</v>
      </c>
      <c r="D542" t="s">
        <v>2780</v>
      </c>
      <c r="E542" t="s">
        <v>2781</v>
      </c>
      <c r="F542" t="str">
        <f>"140/354"</f>
        <v>140/354</v>
      </c>
      <c r="G542" t="s">
        <v>1705</v>
      </c>
      <c r="H542" t="s">
        <v>7816</v>
      </c>
      <c r="I542">
        <v>31.08</v>
      </c>
    </row>
    <row r="543" spans="1:9" ht="12.75">
      <c r="A543">
        <v>529</v>
      </c>
      <c r="B543" t="s">
        <v>7817</v>
      </c>
      <c r="C543" t="s">
        <v>3417</v>
      </c>
      <c r="D543" t="s">
        <v>2780</v>
      </c>
      <c r="E543" t="s">
        <v>2818</v>
      </c>
      <c r="F543" t="str">
        <f>"70/380"</f>
        <v>70/380</v>
      </c>
      <c r="G543" t="s">
        <v>3261</v>
      </c>
      <c r="H543" t="s">
        <v>7818</v>
      </c>
      <c r="I543">
        <v>31.08</v>
      </c>
    </row>
    <row r="544" spans="1:9" ht="12.75">
      <c r="A544">
        <v>530</v>
      </c>
      <c r="B544" t="s">
        <v>1148</v>
      </c>
      <c r="C544" t="s">
        <v>7819</v>
      </c>
      <c r="D544" t="s">
        <v>2780</v>
      </c>
      <c r="E544" t="s">
        <v>2818</v>
      </c>
      <c r="F544" t="str">
        <f>"71/380"</f>
        <v>71/380</v>
      </c>
      <c r="G544" t="s">
        <v>2804</v>
      </c>
      <c r="H544" t="s">
        <v>7820</v>
      </c>
      <c r="I544">
        <v>31.08</v>
      </c>
    </row>
    <row r="545" spans="1:9" ht="12.75">
      <c r="A545">
        <v>531</v>
      </c>
      <c r="B545" t="s">
        <v>7752</v>
      </c>
      <c r="C545" t="s">
        <v>195</v>
      </c>
      <c r="D545" t="s">
        <v>2780</v>
      </c>
      <c r="E545" t="s">
        <v>2823</v>
      </c>
      <c r="F545" t="str">
        <f>"200/668"</f>
        <v>200/668</v>
      </c>
      <c r="G545" t="s">
        <v>416</v>
      </c>
      <c r="H545" t="s">
        <v>7821</v>
      </c>
      <c r="I545">
        <v>31.07</v>
      </c>
    </row>
    <row r="546" spans="1:9" ht="12.75">
      <c r="A546">
        <v>532</v>
      </c>
      <c r="B546" t="s">
        <v>7822</v>
      </c>
      <c r="C546" t="s">
        <v>5593</v>
      </c>
      <c r="D546" t="s">
        <v>2780</v>
      </c>
      <c r="E546" t="s">
        <v>2818</v>
      </c>
      <c r="F546" t="str">
        <f>"72/380"</f>
        <v>72/380</v>
      </c>
      <c r="G546" t="s">
        <v>5065</v>
      </c>
      <c r="H546" t="s">
        <v>7823</v>
      </c>
      <c r="I546">
        <v>31.07</v>
      </c>
    </row>
    <row r="547" spans="1:9" ht="12.75">
      <c r="A547">
        <v>533</v>
      </c>
      <c r="B547" t="s">
        <v>5278</v>
      </c>
      <c r="C547" t="s">
        <v>615</v>
      </c>
      <c r="D547" t="s">
        <v>2780</v>
      </c>
      <c r="E547" t="s">
        <v>2823</v>
      </c>
      <c r="F547" t="str">
        <f>"201/668"</f>
        <v>201/668</v>
      </c>
      <c r="G547" t="s">
        <v>1570</v>
      </c>
      <c r="H547" t="s">
        <v>7824</v>
      </c>
      <c r="I547">
        <v>31.06</v>
      </c>
    </row>
    <row r="548" spans="1:9" ht="12.75">
      <c r="A548">
        <v>534</v>
      </c>
      <c r="B548" t="s">
        <v>1132</v>
      </c>
      <c r="C548" t="s">
        <v>2895</v>
      </c>
      <c r="D548" t="s">
        <v>2780</v>
      </c>
      <c r="E548" t="s">
        <v>2781</v>
      </c>
      <c r="F548" t="str">
        <f>"141/354"</f>
        <v>141/354</v>
      </c>
      <c r="G548" t="s">
        <v>4978</v>
      </c>
      <c r="H548" t="s">
        <v>7824</v>
      </c>
      <c r="I548">
        <v>31.06</v>
      </c>
    </row>
    <row r="549" spans="1:9" ht="12.75">
      <c r="A549">
        <v>535</v>
      </c>
      <c r="B549" t="s">
        <v>629</v>
      </c>
      <c r="C549" t="s">
        <v>2826</v>
      </c>
      <c r="D549" t="s">
        <v>2780</v>
      </c>
      <c r="E549" t="s">
        <v>2823</v>
      </c>
      <c r="F549" t="str">
        <f>"202/668"</f>
        <v>202/668</v>
      </c>
      <c r="G549" t="s">
        <v>3384</v>
      </c>
      <c r="H549" t="s">
        <v>7825</v>
      </c>
      <c r="I549">
        <v>31.06</v>
      </c>
    </row>
    <row r="550" spans="1:9" ht="12.75">
      <c r="A550">
        <v>536</v>
      </c>
      <c r="B550" t="s">
        <v>3173</v>
      </c>
      <c r="C550" t="s">
        <v>2807</v>
      </c>
      <c r="D550" t="s">
        <v>2780</v>
      </c>
      <c r="E550" t="s">
        <v>2818</v>
      </c>
      <c r="F550" t="str">
        <f>"73/380"</f>
        <v>73/380</v>
      </c>
      <c r="G550" t="s">
        <v>3168</v>
      </c>
      <c r="H550" t="s">
        <v>7826</v>
      </c>
      <c r="I550">
        <v>31.06</v>
      </c>
    </row>
    <row r="551" spans="1:9" ht="12.75">
      <c r="A551">
        <v>537</v>
      </c>
      <c r="B551" t="s">
        <v>7827</v>
      </c>
      <c r="C551" t="s">
        <v>2966</v>
      </c>
      <c r="D551" t="s">
        <v>2780</v>
      </c>
      <c r="E551" t="s">
        <v>2823</v>
      </c>
      <c r="F551" t="str">
        <f>"204/668"</f>
        <v>204/668</v>
      </c>
      <c r="G551" t="s">
        <v>4891</v>
      </c>
      <c r="H551" t="s">
        <v>7828</v>
      </c>
      <c r="I551">
        <v>31.05</v>
      </c>
    </row>
    <row r="552" spans="1:9" ht="12.75">
      <c r="A552">
        <v>538</v>
      </c>
      <c r="B552" t="s">
        <v>7829</v>
      </c>
      <c r="C552" t="s">
        <v>2865</v>
      </c>
      <c r="D552" t="s">
        <v>2780</v>
      </c>
      <c r="E552" t="s">
        <v>2823</v>
      </c>
      <c r="F552" t="str">
        <f>"203/668"</f>
        <v>203/668</v>
      </c>
      <c r="G552" t="s">
        <v>7830</v>
      </c>
      <c r="H552" t="s">
        <v>7828</v>
      </c>
      <c r="I552">
        <v>31.05</v>
      </c>
    </row>
    <row r="553" spans="1:9" ht="12.75">
      <c r="A553">
        <v>539</v>
      </c>
      <c r="B553" t="s">
        <v>61</v>
      </c>
      <c r="C553" t="s">
        <v>7831</v>
      </c>
      <c r="D553" t="s">
        <v>2780</v>
      </c>
      <c r="E553" t="s">
        <v>2823</v>
      </c>
      <c r="F553" t="str">
        <f>"205/668"</f>
        <v>205/668</v>
      </c>
      <c r="G553" t="s">
        <v>7832</v>
      </c>
      <c r="H553" t="s">
        <v>7833</v>
      </c>
      <c r="I553">
        <v>31.05</v>
      </c>
    </row>
    <row r="554" spans="1:9" ht="12.75">
      <c r="A554">
        <v>540</v>
      </c>
      <c r="B554" t="s">
        <v>7834</v>
      </c>
      <c r="C554" t="s">
        <v>3219</v>
      </c>
      <c r="D554" t="s">
        <v>2780</v>
      </c>
      <c r="E554" t="s">
        <v>2823</v>
      </c>
      <c r="F554" t="str">
        <f>"206/668"</f>
        <v>206/668</v>
      </c>
      <c r="G554" t="s">
        <v>3289</v>
      </c>
      <c r="H554" t="s">
        <v>7835</v>
      </c>
      <c r="I554">
        <v>31.04</v>
      </c>
    </row>
    <row r="555" spans="1:9" ht="12.75">
      <c r="A555">
        <v>541</v>
      </c>
      <c r="B555" t="s">
        <v>7836</v>
      </c>
      <c r="C555" t="s">
        <v>191</v>
      </c>
      <c r="D555" t="s">
        <v>2780</v>
      </c>
      <c r="E555" t="s">
        <v>2818</v>
      </c>
      <c r="F555" t="str">
        <f>"74/380"</f>
        <v>74/380</v>
      </c>
      <c r="G555" t="s">
        <v>5376</v>
      </c>
      <c r="H555" t="s">
        <v>7837</v>
      </c>
      <c r="I555">
        <v>31.03</v>
      </c>
    </row>
    <row r="556" spans="1:9" ht="12.75">
      <c r="A556">
        <v>542</v>
      </c>
      <c r="B556" t="s">
        <v>686</v>
      </c>
      <c r="C556" t="s">
        <v>3201</v>
      </c>
      <c r="D556" t="s">
        <v>2780</v>
      </c>
      <c r="E556" t="s">
        <v>2781</v>
      </c>
      <c r="F556" t="str">
        <f>"142/354"</f>
        <v>142/354</v>
      </c>
      <c r="G556" t="s">
        <v>3289</v>
      </c>
      <c r="H556" t="s">
        <v>7838</v>
      </c>
      <c r="I556">
        <v>31.03</v>
      </c>
    </row>
    <row r="557" spans="1:9" ht="12.75">
      <c r="A557">
        <v>543</v>
      </c>
      <c r="B557" t="s">
        <v>7839</v>
      </c>
      <c r="C557" t="s">
        <v>3560</v>
      </c>
      <c r="D557" t="s">
        <v>2780</v>
      </c>
      <c r="E557" t="s">
        <v>2823</v>
      </c>
      <c r="F557" t="str">
        <f>"207/668"</f>
        <v>207/668</v>
      </c>
      <c r="G557" t="s">
        <v>3217</v>
      </c>
      <c r="H557" t="s">
        <v>7840</v>
      </c>
      <c r="I557">
        <v>31.03</v>
      </c>
    </row>
    <row r="558" spans="1:9" ht="12.75">
      <c r="A558">
        <v>544</v>
      </c>
      <c r="B558" t="s">
        <v>7841</v>
      </c>
      <c r="C558" t="s">
        <v>2931</v>
      </c>
      <c r="D558" t="s">
        <v>2780</v>
      </c>
      <c r="E558" t="s">
        <v>2781</v>
      </c>
      <c r="F558" t="str">
        <f>"143/354"</f>
        <v>143/354</v>
      </c>
      <c r="G558" t="s">
        <v>7842</v>
      </c>
      <c r="H558" t="s">
        <v>7843</v>
      </c>
      <c r="I558">
        <v>31.01</v>
      </c>
    </row>
    <row r="559" spans="1:9" ht="12.75">
      <c r="A559">
        <v>545</v>
      </c>
      <c r="B559" t="s">
        <v>2988</v>
      </c>
      <c r="C559" t="s">
        <v>2857</v>
      </c>
      <c r="D559" t="s">
        <v>2780</v>
      </c>
      <c r="E559" t="s">
        <v>2818</v>
      </c>
      <c r="F559" t="str">
        <f>"75/380"</f>
        <v>75/380</v>
      </c>
      <c r="G559" t="s">
        <v>5512</v>
      </c>
      <c r="H559" t="s">
        <v>7844</v>
      </c>
      <c r="I559">
        <v>31</v>
      </c>
    </row>
    <row r="560" spans="1:9" ht="12.75">
      <c r="A560">
        <v>546</v>
      </c>
      <c r="B560" t="s">
        <v>7845</v>
      </c>
      <c r="C560" t="s">
        <v>2916</v>
      </c>
      <c r="D560" t="s">
        <v>2780</v>
      </c>
      <c r="E560" t="s">
        <v>2781</v>
      </c>
      <c r="F560" t="str">
        <f>"144/354"</f>
        <v>144/354</v>
      </c>
      <c r="G560" t="s">
        <v>3261</v>
      </c>
      <c r="H560" t="s">
        <v>7844</v>
      </c>
      <c r="I560">
        <v>31</v>
      </c>
    </row>
    <row r="561" spans="1:9" ht="12.75">
      <c r="A561">
        <v>547</v>
      </c>
      <c r="B561" t="s">
        <v>7846</v>
      </c>
      <c r="C561" t="s">
        <v>1989</v>
      </c>
      <c r="D561" t="s">
        <v>3031</v>
      </c>
      <c r="E561" t="s">
        <v>3032</v>
      </c>
      <c r="F561" t="str">
        <f>"7/25"</f>
        <v>7/25</v>
      </c>
      <c r="G561" t="s">
        <v>3261</v>
      </c>
      <c r="H561" t="s">
        <v>7847</v>
      </c>
      <c r="I561">
        <v>31</v>
      </c>
    </row>
    <row r="562" spans="1:9" ht="12.75">
      <c r="A562">
        <v>548</v>
      </c>
      <c r="B562" t="s">
        <v>7848</v>
      </c>
      <c r="C562" t="s">
        <v>3123</v>
      </c>
      <c r="D562" t="s">
        <v>2780</v>
      </c>
      <c r="E562" t="s">
        <v>2823</v>
      </c>
      <c r="F562" t="str">
        <f>"208/668"</f>
        <v>208/668</v>
      </c>
      <c r="G562" t="s">
        <v>7849</v>
      </c>
      <c r="H562" t="s">
        <v>7850</v>
      </c>
      <c r="I562">
        <v>30.97</v>
      </c>
    </row>
    <row r="563" spans="1:9" ht="12.75">
      <c r="A563">
        <v>549</v>
      </c>
      <c r="B563" t="s">
        <v>7851</v>
      </c>
      <c r="C563" t="s">
        <v>692</v>
      </c>
      <c r="D563" t="s">
        <v>2780</v>
      </c>
      <c r="E563" t="s">
        <v>2818</v>
      </c>
      <c r="F563" t="str">
        <f>"76/380"</f>
        <v>76/380</v>
      </c>
      <c r="G563" t="s">
        <v>59</v>
      </c>
      <c r="H563" t="s">
        <v>7852</v>
      </c>
      <c r="I563">
        <v>30.97</v>
      </c>
    </row>
    <row r="564" spans="1:9" ht="12.75">
      <c r="A564">
        <v>550</v>
      </c>
      <c r="B564" t="s">
        <v>7853</v>
      </c>
      <c r="C564" t="s">
        <v>3260</v>
      </c>
      <c r="D564" t="s">
        <v>2780</v>
      </c>
      <c r="E564" t="s">
        <v>2781</v>
      </c>
      <c r="F564" t="str">
        <f>"145/354"</f>
        <v>145/354</v>
      </c>
      <c r="G564" t="s">
        <v>3516</v>
      </c>
      <c r="H564" t="s">
        <v>7854</v>
      </c>
      <c r="I564">
        <v>30.96</v>
      </c>
    </row>
    <row r="565" spans="1:9" ht="12.75">
      <c r="A565">
        <v>551</v>
      </c>
      <c r="B565" t="s">
        <v>7855</v>
      </c>
      <c r="C565" t="s">
        <v>7856</v>
      </c>
      <c r="D565" t="s">
        <v>2780</v>
      </c>
      <c r="E565" t="s">
        <v>2818</v>
      </c>
      <c r="F565" t="str">
        <f>"77/380"</f>
        <v>77/380</v>
      </c>
      <c r="G565" t="s">
        <v>7225</v>
      </c>
      <c r="H565" t="s">
        <v>7857</v>
      </c>
      <c r="I565">
        <v>30.95</v>
      </c>
    </row>
    <row r="566" spans="1:9" ht="12.75">
      <c r="A566">
        <v>552</v>
      </c>
      <c r="B566" t="s">
        <v>441</v>
      </c>
      <c r="C566" t="s">
        <v>191</v>
      </c>
      <c r="D566" t="s">
        <v>2780</v>
      </c>
      <c r="E566" t="s">
        <v>2823</v>
      </c>
      <c r="F566" t="str">
        <f>"209/668"</f>
        <v>209/668</v>
      </c>
      <c r="G566" t="s">
        <v>2628</v>
      </c>
      <c r="H566" t="s">
        <v>7858</v>
      </c>
      <c r="I566">
        <v>30.94</v>
      </c>
    </row>
    <row r="567" spans="1:9" ht="12.75">
      <c r="A567">
        <v>553</v>
      </c>
      <c r="B567" t="s">
        <v>3624</v>
      </c>
      <c r="C567" t="s">
        <v>43</v>
      </c>
      <c r="D567" t="s">
        <v>2780</v>
      </c>
      <c r="E567" t="s">
        <v>2823</v>
      </c>
      <c r="F567" t="str">
        <f>"210/668"</f>
        <v>210/668</v>
      </c>
      <c r="G567" t="s">
        <v>369</v>
      </c>
      <c r="H567" t="s">
        <v>7859</v>
      </c>
      <c r="I567">
        <v>30.93</v>
      </c>
    </row>
    <row r="568" spans="1:9" ht="12.75">
      <c r="A568">
        <v>554</v>
      </c>
      <c r="B568" t="s">
        <v>7860</v>
      </c>
      <c r="C568" t="s">
        <v>2868</v>
      </c>
      <c r="D568" t="s">
        <v>2780</v>
      </c>
      <c r="E568" t="s">
        <v>2818</v>
      </c>
      <c r="F568" t="str">
        <f>"78/380"</f>
        <v>78/380</v>
      </c>
      <c r="G568" t="s">
        <v>5000</v>
      </c>
      <c r="H568" t="s">
        <v>7861</v>
      </c>
      <c r="I568">
        <v>30.93</v>
      </c>
    </row>
    <row r="569" spans="1:9" ht="12.75">
      <c r="A569">
        <v>555</v>
      </c>
      <c r="B569" t="s">
        <v>7862</v>
      </c>
      <c r="C569" t="s">
        <v>2857</v>
      </c>
      <c r="D569" t="s">
        <v>2780</v>
      </c>
      <c r="E569" t="s">
        <v>2823</v>
      </c>
      <c r="F569" t="str">
        <f>"211/668"</f>
        <v>211/668</v>
      </c>
      <c r="G569" t="s">
        <v>7863</v>
      </c>
      <c r="H569" t="s">
        <v>7864</v>
      </c>
      <c r="I569">
        <v>30.9</v>
      </c>
    </row>
    <row r="570" spans="1:9" ht="12.75">
      <c r="A570">
        <v>556</v>
      </c>
      <c r="B570" t="s">
        <v>7865</v>
      </c>
      <c r="C570" t="s">
        <v>3283</v>
      </c>
      <c r="D570" t="s">
        <v>2780</v>
      </c>
      <c r="E570" t="s">
        <v>2781</v>
      </c>
      <c r="F570" t="str">
        <f>"146/354"</f>
        <v>146/354</v>
      </c>
      <c r="G570" t="s">
        <v>7527</v>
      </c>
      <c r="H570" t="s">
        <v>7866</v>
      </c>
      <c r="I570">
        <v>30.9</v>
      </c>
    </row>
    <row r="571" spans="1:9" ht="12.75">
      <c r="A571">
        <v>557</v>
      </c>
      <c r="B571" t="s">
        <v>4999</v>
      </c>
      <c r="C571" t="s">
        <v>7540</v>
      </c>
      <c r="D571" t="s">
        <v>2780</v>
      </c>
      <c r="E571" t="s">
        <v>2818</v>
      </c>
      <c r="F571" t="str">
        <f>"79/380"</f>
        <v>79/380</v>
      </c>
      <c r="G571" t="s">
        <v>7867</v>
      </c>
      <c r="H571" t="s">
        <v>7868</v>
      </c>
      <c r="I571">
        <v>30.9</v>
      </c>
    </row>
    <row r="572" spans="1:9" ht="12.75">
      <c r="A572">
        <v>558</v>
      </c>
      <c r="B572" t="s">
        <v>7869</v>
      </c>
      <c r="C572" t="s">
        <v>3102</v>
      </c>
      <c r="D572" t="s">
        <v>2780</v>
      </c>
      <c r="E572" t="s">
        <v>2781</v>
      </c>
      <c r="F572" t="str">
        <f>"147/354"</f>
        <v>147/354</v>
      </c>
      <c r="G572" t="s">
        <v>7870</v>
      </c>
      <c r="H572" t="s">
        <v>7871</v>
      </c>
      <c r="I572">
        <v>30.88</v>
      </c>
    </row>
    <row r="573" spans="1:9" ht="12.75">
      <c r="A573">
        <v>559</v>
      </c>
      <c r="B573" t="s">
        <v>5754</v>
      </c>
      <c r="C573" t="s">
        <v>2865</v>
      </c>
      <c r="D573" t="s">
        <v>2780</v>
      </c>
      <c r="E573" t="s">
        <v>2818</v>
      </c>
      <c r="F573" t="str">
        <f>"80/380"</f>
        <v>80/380</v>
      </c>
      <c r="G573" t="s">
        <v>7207</v>
      </c>
      <c r="H573" t="s">
        <v>7872</v>
      </c>
      <c r="I573">
        <v>30.87</v>
      </c>
    </row>
    <row r="574" spans="1:9" ht="12.75">
      <c r="A574">
        <v>560</v>
      </c>
      <c r="B574" t="s">
        <v>7873</v>
      </c>
      <c r="C574" t="s">
        <v>3087</v>
      </c>
      <c r="D574" t="s">
        <v>2780</v>
      </c>
      <c r="E574" t="s">
        <v>2786</v>
      </c>
      <c r="F574" t="str">
        <f>"22/44"</f>
        <v>22/44</v>
      </c>
      <c r="G574" t="s">
        <v>7874</v>
      </c>
      <c r="H574" t="s">
        <v>7875</v>
      </c>
      <c r="I574">
        <v>30.87</v>
      </c>
    </row>
    <row r="575" spans="1:9" ht="12.75">
      <c r="A575">
        <v>561</v>
      </c>
      <c r="B575" t="s">
        <v>7876</v>
      </c>
      <c r="C575" t="s">
        <v>2966</v>
      </c>
      <c r="D575" t="s">
        <v>2780</v>
      </c>
      <c r="E575" t="s">
        <v>2818</v>
      </c>
      <c r="F575" t="str">
        <f>"81/380"</f>
        <v>81/380</v>
      </c>
      <c r="G575" t="s">
        <v>2290</v>
      </c>
      <c r="H575" t="s">
        <v>7877</v>
      </c>
      <c r="I575">
        <v>30.86</v>
      </c>
    </row>
    <row r="576" spans="1:9" ht="12.75">
      <c r="A576">
        <v>562</v>
      </c>
      <c r="B576" t="s">
        <v>7878</v>
      </c>
      <c r="C576" t="s">
        <v>3114</v>
      </c>
      <c r="D576" t="s">
        <v>2780</v>
      </c>
      <c r="E576" t="s">
        <v>2781</v>
      </c>
      <c r="F576" t="str">
        <f>"148/354"</f>
        <v>148/354</v>
      </c>
      <c r="G576" t="s">
        <v>526</v>
      </c>
      <c r="H576" t="s">
        <v>7879</v>
      </c>
      <c r="I576">
        <v>30.86</v>
      </c>
    </row>
    <row r="577" spans="1:9" ht="12.75">
      <c r="A577">
        <v>563</v>
      </c>
      <c r="B577" t="s">
        <v>2856</v>
      </c>
      <c r="C577" t="s">
        <v>7880</v>
      </c>
      <c r="D577" t="s">
        <v>3031</v>
      </c>
      <c r="E577" t="s">
        <v>3244</v>
      </c>
      <c r="F577" t="str">
        <f>"9/40"</f>
        <v>9/40</v>
      </c>
      <c r="G577" t="s">
        <v>697</v>
      </c>
      <c r="H577" t="s">
        <v>7881</v>
      </c>
      <c r="I577">
        <v>30.86</v>
      </c>
    </row>
    <row r="578" spans="1:9" ht="12.75">
      <c r="A578">
        <v>564</v>
      </c>
      <c r="B578" t="s">
        <v>7882</v>
      </c>
      <c r="C578" t="s">
        <v>2836</v>
      </c>
      <c r="D578" t="s">
        <v>2780</v>
      </c>
      <c r="E578" t="s">
        <v>2781</v>
      </c>
      <c r="F578" t="str">
        <f>"149/354"</f>
        <v>149/354</v>
      </c>
      <c r="G578" t="s">
        <v>2854</v>
      </c>
      <c r="H578" t="s">
        <v>7883</v>
      </c>
      <c r="I578">
        <v>30.86</v>
      </c>
    </row>
    <row r="579" spans="1:9" ht="12.75">
      <c r="A579">
        <v>565</v>
      </c>
      <c r="B579" t="s">
        <v>7884</v>
      </c>
      <c r="C579" t="s">
        <v>2861</v>
      </c>
      <c r="D579" t="s">
        <v>2780</v>
      </c>
      <c r="E579" t="s">
        <v>2823</v>
      </c>
      <c r="F579" t="str">
        <f>"212/668"</f>
        <v>212/668</v>
      </c>
      <c r="G579" t="s">
        <v>2889</v>
      </c>
      <c r="H579" t="s">
        <v>7885</v>
      </c>
      <c r="I579">
        <v>30.85</v>
      </c>
    </row>
    <row r="580" spans="1:9" ht="12.75">
      <c r="A580">
        <v>566</v>
      </c>
      <c r="B580" t="s">
        <v>7886</v>
      </c>
      <c r="C580" t="s">
        <v>330</v>
      </c>
      <c r="D580" t="s">
        <v>3031</v>
      </c>
      <c r="E580" t="s">
        <v>3032</v>
      </c>
      <c r="F580" t="str">
        <f>"8/25"</f>
        <v>8/25</v>
      </c>
      <c r="G580" t="s">
        <v>7728</v>
      </c>
      <c r="H580" t="s">
        <v>7887</v>
      </c>
      <c r="I580">
        <v>30.85</v>
      </c>
    </row>
    <row r="581" spans="1:9" ht="12.75">
      <c r="A581">
        <v>567</v>
      </c>
      <c r="B581" t="s">
        <v>7888</v>
      </c>
      <c r="C581" t="s">
        <v>2785</v>
      </c>
      <c r="D581" t="s">
        <v>2780</v>
      </c>
      <c r="E581" t="s">
        <v>2781</v>
      </c>
      <c r="F581" t="str">
        <f>"150/354"</f>
        <v>150/354</v>
      </c>
      <c r="G581" t="s">
        <v>7889</v>
      </c>
      <c r="H581" t="s">
        <v>7890</v>
      </c>
      <c r="I581">
        <v>30.85</v>
      </c>
    </row>
    <row r="582" spans="1:9" ht="12.75">
      <c r="A582">
        <v>568</v>
      </c>
      <c r="B582" t="s">
        <v>7891</v>
      </c>
      <c r="C582" t="s">
        <v>2886</v>
      </c>
      <c r="D582" t="s">
        <v>2780</v>
      </c>
      <c r="E582" t="s">
        <v>2781</v>
      </c>
      <c r="F582" t="str">
        <f>"151/354"</f>
        <v>151/354</v>
      </c>
      <c r="G582" t="s">
        <v>7892</v>
      </c>
      <c r="H582" t="s">
        <v>7893</v>
      </c>
      <c r="I582">
        <v>30.85</v>
      </c>
    </row>
    <row r="583" spans="1:9" ht="12.75">
      <c r="A583">
        <v>569</v>
      </c>
      <c r="B583" t="s">
        <v>7894</v>
      </c>
      <c r="C583" t="s">
        <v>7895</v>
      </c>
      <c r="D583" t="s">
        <v>2780</v>
      </c>
      <c r="E583" t="s">
        <v>2818</v>
      </c>
      <c r="F583" t="str">
        <f>"82/380"</f>
        <v>82/380</v>
      </c>
      <c r="G583" t="s">
        <v>7438</v>
      </c>
      <c r="H583" t="s">
        <v>7896</v>
      </c>
      <c r="I583">
        <v>30.84</v>
      </c>
    </row>
    <row r="584" spans="1:9" ht="12.75">
      <c r="A584">
        <v>570</v>
      </c>
      <c r="B584" t="s">
        <v>7897</v>
      </c>
      <c r="C584" t="s">
        <v>2814</v>
      </c>
      <c r="D584" t="s">
        <v>2780</v>
      </c>
      <c r="E584" t="s">
        <v>2818</v>
      </c>
      <c r="F584" t="str">
        <f>"83/380"</f>
        <v>83/380</v>
      </c>
      <c r="G584" t="s">
        <v>7093</v>
      </c>
      <c r="H584" t="s">
        <v>7898</v>
      </c>
      <c r="I584">
        <v>30.81</v>
      </c>
    </row>
    <row r="585" spans="1:9" ht="12.75">
      <c r="A585">
        <v>571</v>
      </c>
      <c r="B585" t="s">
        <v>7899</v>
      </c>
      <c r="C585" t="s">
        <v>2931</v>
      </c>
      <c r="D585" t="s">
        <v>2780</v>
      </c>
      <c r="E585" t="s">
        <v>2781</v>
      </c>
      <c r="F585" t="str">
        <f>"152/354"</f>
        <v>152/354</v>
      </c>
      <c r="G585" t="s">
        <v>7127</v>
      </c>
      <c r="H585" t="s">
        <v>7900</v>
      </c>
      <c r="I585">
        <v>30.79</v>
      </c>
    </row>
    <row r="586" spans="1:9" ht="12.75">
      <c r="A586">
        <v>572</v>
      </c>
      <c r="B586" t="s">
        <v>7901</v>
      </c>
      <c r="C586" t="s">
        <v>3017</v>
      </c>
      <c r="D586" t="s">
        <v>2780</v>
      </c>
      <c r="E586" t="s">
        <v>2823</v>
      </c>
      <c r="F586" t="str">
        <f>"213/668"</f>
        <v>213/668</v>
      </c>
      <c r="G586" t="s">
        <v>2243</v>
      </c>
      <c r="H586" t="s">
        <v>7902</v>
      </c>
      <c r="I586">
        <v>30.78</v>
      </c>
    </row>
    <row r="587" spans="1:9" ht="12.75">
      <c r="A587">
        <v>573</v>
      </c>
      <c r="B587" t="s">
        <v>3251</v>
      </c>
      <c r="C587" t="s">
        <v>2836</v>
      </c>
      <c r="D587" t="s">
        <v>2780</v>
      </c>
      <c r="E587" t="s">
        <v>2818</v>
      </c>
      <c r="F587" t="str">
        <f>"84/380"</f>
        <v>84/380</v>
      </c>
      <c r="G587" t="s">
        <v>3252</v>
      </c>
      <c r="H587" t="s">
        <v>7903</v>
      </c>
      <c r="I587">
        <v>30.77</v>
      </c>
    </row>
    <row r="588" spans="1:9" ht="12.75">
      <c r="A588">
        <v>574</v>
      </c>
      <c r="B588" t="s">
        <v>7904</v>
      </c>
      <c r="C588" t="s">
        <v>2814</v>
      </c>
      <c r="D588" t="s">
        <v>2780</v>
      </c>
      <c r="E588" t="s">
        <v>2781</v>
      </c>
      <c r="F588" t="str">
        <f>"153/354"</f>
        <v>153/354</v>
      </c>
      <c r="G588" t="s">
        <v>3528</v>
      </c>
      <c r="H588" t="s">
        <v>3678</v>
      </c>
      <c r="I588">
        <v>30.77</v>
      </c>
    </row>
    <row r="589" spans="1:9" ht="12.75">
      <c r="A589">
        <v>575</v>
      </c>
      <c r="B589" t="s">
        <v>3679</v>
      </c>
      <c r="C589" t="s">
        <v>4932</v>
      </c>
      <c r="D589" t="s">
        <v>2780</v>
      </c>
      <c r="E589" t="s">
        <v>2823</v>
      </c>
      <c r="F589" t="str">
        <f>"214/668"</f>
        <v>214/668</v>
      </c>
      <c r="G589" t="s">
        <v>2628</v>
      </c>
      <c r="H589" t="s">
        <v>3680</v>
      </c>
      <c r="I589">
        <v>30.77</v>
      </c>
    </row>
    <row r="590" spans="1:9" ht="12.75">
      <c r="A590">
        <v>576</v>
      </c>
      <c r="B590" t="s">
        <v>3681</v>
      </c>
      <c r="C590" t="s">
        <v>5379</v>
      </c>
      <c r="D590" t="s">
        <v>2780</v>
      </c>
      <c r="E590" t="s">
        <v>2823</v>
      </c>
      <c r="F590" t="str">
        <f>"215/668"</f>
        <v>215/668</v>
      </c>
      <c r="G590" t="s">
        <v>7708</v>
      </c>
      <c r="H590" t="s">
        <v>3682</v>
      </c>
      <c r="I590">
        <v>30.75</v>
      </c>
    </row>
    <row r="591" spans="1:9" ht="12.75">
      <c r="A591">
        <v>577</v>
      </c>
      <c r="B591" t="s">
        <v>3683</v>
      </c>
      <c r="C591" t="s">
        <v>2810</v>
      </c>
      <c r="D591" t="s">
        <v>2780</v>
      </c>
      <c r="E591" t="s">
        <v>2823</v>
      </c>
      <c r="F591" t="str">
        <f>"216/668"</f>
        <v>216/668</v>
      </c>
      <c r="G591" t="s">
        <v>7708</v>
      </c>
      <c r="H591" t="s">
        <v>3684</v>
      </c>
      <c r="I591">
        <v>30.75</v>
      </c>
    </row>
    <row r="592" spans="1:9" ht="12.75">
      <c r="A592">
        <v>578</v>
      </c>
      <c r="B592" t="s">
        <v>3378</v>
      </c>
      <c r="C592" t="s">
        <v>1160</v>
      </c>
      <c r="D592" t="s">
        <v>2780</v>
      </c>
      <c r="E592" t="s">
        <v>2818</v>
      </c>
      <c r="F592" t="str">
        <f>"85/380"</f>
        <v>85/380</v>
      </c>
      <c r="G592" t="s">
        <v>7708</v>
      </c>
      <c r="H592" t="s">
        <v>3685</v>
      </c>
      <c r="I592">
        <v>30.75</v>
      </c>
    </row>
    <row r="593" spans="1:9" ht="12.75">
      <c r="A593">
        <v>579</v>
      </c>
      <c r="B593" t="s">
        <v>3686</v>
      </c>
      <c r="C593" t="s">
        <v>2963</v>
      </c>
      <c r="D593" t="s">
        <v>2780</v>
      </c>
      <c r="E593" t="s">
        <v>2823</v>
      </c>
      <c r="F593" t="str">
        <f>"217/668"</f>
        <v>217/668</v>
      </c>
      <c r="G593" t="s">
        <v>3261</v>
      </c>
      <c r="H593" t="s">
        <v>3687</v>
      </c>
      <c r="I593">
        <v>30.74</v>
      </c>
    </row>
    <row r="594" spans="1:9" ht="12.75">
      <c r="A594">
        <v>580</v>
      </c>
      <c r="B594" t="s">
        <v>3688</v>
      </c>
      <c r="C594" t="s">
        <v>2895</v>
      </c>
      <c r="D594" t="s">
        <v>2780</v>
      </c>
      <c r="E594" t="s">
        <v>2823</v>
      </c>
      <c r="F594" t="str">
        <f>"218/668"</f>
        <v>218/668</v>
      </c>
      <c r="G594" t="s">
        <v>3046</v>
      </c>
      <c r="H594" t="s">
        <v>3689</v>
      </c>
      <c r="I594">
        <v>30.72</v>
      </c>
    </row>
    <row r="595" spans="1:9" s="1" customFormat="1" ht="12.75">
      <c r="A595" s="1">
        <v>581</v>
      </c>
      <c r="B595" s="1" t="s">
        <v>2137</v>
      </c>
      <c r="C595" s="1" t="s">
        <v>2861</v>
      </c>
      <c r="D595" s="1" t="s">
        <v>2780</v>
      </c>
      <c r="E595" s="1" t="s">
        <v>2781</v>
      </c>
      <c r="F595" s="1" t="str">
        <f>"154/354"</f>
        <v>154/354</v>
      </c>
      <c r="G595" s="1" t="s">
        <v>5536</v>
      </c>
      <c r="H595" s="1" t="s">
        <v>3690</v>
      </c>
      <c r="I595" s="1">
        <v>30.71</v>
      </c>
    </row>
    <row r="596" spans="1:9" ht="12.75">
      <c r="A596">
        <v>582</v>
      </c>
      <c r="B596" t="s">
        <v>3691</v>
      </c>
      <c r="C596" t="s">
        <v>353</v>
      </c>
      <c r="D596" t="s">
        <v>2780</v>
      </c>
      <c r="E596" t="s">
        <v>2786</v>
      </c>
      <c r="F596" t="str">
        <f>"23/44"</f>
        <v>23/44</v>
      </c>
      <c r="G596" t="s">
        <v>3692</v>
      </c>
      <c r="H596" t="s">
        <v>3693</v>
      </c>
      <c r="I596">
        <v>30.7</v>
      </c>
    </row>
    <row r="597" spans="1:9" ht="12.75">
      <c r="A597">
        <v>583</v>
      </c>
      <c r="B597" t="s">
        <v>1632</v>
      </c>
      <c r="C597" t="s">
        <v>2868</v>
      </c>
      <c r="D597" t="s">
        <v>2780</v>
      </c>
      <c r="E597" t="s">
        <v>2823</v>
      </c>
      <c r="F597" t="str">
        <f>"219/668"</f>
        <v>219/668</v>
      </c>
      <c r="G597" t="s">
        <v>343</v>
      </c>
      <c r="H597" t="s">
        <v>3694</v>
      </c>
      <c r="I597">
        <v>30.7</v>
      </c>
    </row>
    <row r="598" spans="1:9" ht="12.75">
      <c r="A598">
        <v>584</v>
      </c>
      <c r="B598" t="s">
        <v>3695</v>
      </c>
      <c r="C598" t="s">
        <v>2931</v>
      </c>
      <c r="D598" t="s">
        <v>2780</v>
      </c>
      <c r="E598" t="s">
        <v>2799</v>
      </c>
      <c r="F598" t="str">
        <f>"49/100"</f>
        <v>49/100</v>
      </c>
      <c r="G598" t="s">
        <v>343</v>
      </c>
      <c r="H598" t="s">
        <v>3696</v>
      </c>
      <c r="I598">
        <v>30.69</v>
      </c>
    </row>
    <row r="599" spans="1:9" ht="12.75">
      <c r="A599">
        <v>585</v>
      </c>
      <c r="B599" t="s">
        <v>873</v>
      </c>
      <c r="C599" t="s">
        <v>3057</v>
      </c>
      <c r="D599" t="s">
        <v>2780</v>
      </c>
      <c r="E599" t="s">
        <v>2781</v>
      </c>
      <c r="F599" t="str">
        <f>"155/354"</f>
        <v>155/354</v>
      </c>
      <c r="G599" t="s">
        <v>3692</v>
      </c>
      <c r="H599" t="s">
        <v>3697</v>
      </c>
      <c r="I599">
        <v>30.68</v>
      </c>
    </row>
    <row r="600" spans="1:9" ht="12.75">
      <c r="A600">
        <v>586</v>
      </c>
      <c r="B600" t="s">
        <v>5005</v>
      </c>
      <c r="C600" t="s">
        <v>2814</v>
      </c>
      <c r="D600" t="s">
        <v>2780</v>
      </c>
      <c r="E600" t="s">
        <v>2781</v>
      </c>
      <c r="F600" t="str">
        <f>"156/354"</f>
        <v>156/354</v>
      </c>
      <c r="G600" t="s">
        <v>7731</v>
      </c>
      <c r="H600" t="s">
        <v>3698</v>
      </c>
      <c r="I600">
        <v>30.66</v>
      </c>
    </row>
    <row r="601" spans="1:9" ht="12.75">
      <c r="A601">
        <v>587</v>
      </c>
      <c r="B601" t="s">
        <v>3699</v>
      </c>
      <c r="C601" t="s">
        <v>3700</v>
      </c>
      <c r="D601" t="s">
        <v>3031</v>
      </c>
      <c r="E601" t="s">
        <v>3244</v>
      </c>
      <c r="F601" t="str">
        <f>"10/40"</f>
        <v>10/40</v>
      </c>
      <c r="G601" t="s">
        <v>3701</v>
      </c>
      <c r="H601" t="s">
        <v>3702</v>
      </c>
      <c r="I601">
        <v>30.65</v>
      </c>
    </row>
    <row r="602" spans="1:9" ht="12.75">
      <c r="A602">
        <v>588</v>
      </c>
      <c r="B602" t="s">
        <v>5396</v>
      </c>
      <c r="C602" t="s">
        <v>2807</v>
      </c>
      <c r="D602" t="s">
        <v>2780</v>
      </c>
      <c r="E602" t="s">
        <v>2823</v>
      </c>
      <c r="F602" t="str">
        <f>"220/668"</f>
        <v>220/668</v>
      </c>
      <c r="G602" t="s">
        <v>3703</v>
      </c>
      <c r="H602" t="s">
        <v>3704</v>
      </c>
      <c r="I602">
        <v>30.65</v>
      </c>
    </row>
    <row r="603" spans="1:9" ht="12.75">
      <c r="A603">
        <v>589</v>
      </c>
      <c r="B603" t="s">
        <v>3705</v>
      </c>
      <c r="C603" t="s">
        <v>633</v>
      </c>
      <c r="D603" t="s">
        <v>2780</v>
      </c>
      <c r="E603" t="s">
        <v>2781</v>
      </c>
      <c r="F603" t="str">
        <f>"157/354"</f>
        <v>157/354</v>
      </c>
      <c r="G603" t="s">
        <v>3706</v>
      </c>
      <c r="H603" t="s">
        <v>3707</v>
      </c>
      <c r="I603">
        <v>30.64</v>
      </c>
    </row>
    <row r="604" spans="1:9" ht="12.75">
      <c r="A604">
        <v>590</v>
      </c>
      <c r="B604" t="s">
        <v>3708</v>
      </c>
      <c r="C604" t="s">
        <v>3260</v>
      </c>
      <c r="D604" t="s">
        <v>2780</v>
      </c>
      <c r="E604" t="s">
        <v>2973</v>
      </c>
      <c r="F604" t="str">
        <f>"18/147"</f>
        <v>18/147</v>
      </c>
      <c r="G604" t="s">
        <v>2858</v>
      </c>
      <c r="H604" t="s">
        <v>3709</v>
      </c>
      <c r="I604">
        <v>30.62</v>
      </c>
    </row>
    <row r="605" spans="1:9" ht="12.75">
      <c r="A605">
        <v>591</v>
      </c>
      <c r="B605" t="s">
        <v>3710</v>
      </c>
      <c r="C605" t="s">
        <v>54</v>
      </c>
      <c r="D605" t="s">
        <v>2780</v>
      </c>
      <c r="E605" t="s">
        <v>2781</v>
      </c>
      <c r="F605" t="str">
        <f>"158/354"</f>
        <v>158/354</v>
      </c>
      <c r="G605" t="s">
        <v>3042</v>
      </c>
      <c r="H605" t="s">
        <v>3711</v>
      </c>
      <c r="I605">
        <v>30.62</v>
      </c>
    </row>
    <row r="606" spans="1:9" ht="12.75">
      <c r="A606">
        <v>592</v>
      </c>
      <c r="B606" t="s">
        <v>3712</v>
      </c>
      <c r="C606" t="s">
        <v>2861</v>
      </c>
      <c r="D606" t="s">
        <v>2780</v>
      </c>
      <c r="E606" t="s">
        <v>2818</v>
      </c>
      <c r="F606" t="str">
        <f>"86/380"</f>
        <v>86/380</v>
      </c>
      <c r="G606" t="s">
        <v>1039</v>
      </c>
      <c r="H606" t="s">
        <v>3713</v>
      </c>
      <c r="I606">
        <v>30.61</v>
      </c>
    </row>
    <row r="607" spans="1:9" ht="12.75">
      <c r="A607">
        <v>593</v>
      </c>
      <c r="B607" t="s">
        <v>3714</v>
      </c>
      <c r="C607" t="s">
        <v>191</v>
      </c>
      <c r="D607" t="s">
        <v>2780</v>
      </c>
      <c r="E607" t="s">
        <v>2823</v>
      </c>
      <c r="F607" t="str">
        <f>"221/668"</f>
        <v>221/668</v>
      </c>
      <c r="G607" t="s">
        <v>3715</v>
      </c>
      <c r="H607" t="s">
        <v>3716</v>
      </c>
      <c r="I607">
        <v>30.58</v>
      </c>
    </row>
    <row r="608" spans="1:9" ht="12.75">
      <c r="A608">
        <v>594</v>
      </c>
      <c r="B608" t="s">
        <v>3717</v>
      </c>
      <c r="C608" t="s">
        <v>2455</v>
      </c>
      <c r="D608" t="s">
        <v>2780</v>
      </c>
      <c r="E608" t="s">
        <v>2818</v>
      </c>
      <c r="F608" t="str">
        <f>"87/380"</f>
        <v>87/380</v>
      </c>
      <c r="G608" t="s">
        <v>3718</v>
      </c>
      <c r="H608" t="s">
        <v>3719</v>
      </c>
      <c r="I608">
        <v>30.58</v>
      </c>
    </row>
    <row r="609" spans="1:9" ht="12.75">
      <c r="A609">
        <v>595</v>
      </c>
      <c r="B609" t="s">
        <v>3720</v>
      </c>
      <c r="C609" t="s">
        <v>1573</v>
      </c>
      <c r="D609" t="s">
        <v>3031</v>
      </c>
      <c r="E609" t="s">
        <v>3244</v>
      </c>
      <c r="F609" t="str">
        <f>"11/40"</f>
        <v>11/40</v>
      </c>
      <c r="G609" t="s">
        <v>7192</v>
      </c>
      <c r="H609" t="s">
        <v>3721</v>
      </c>
      <c r="I609">
        <v>30.57</v>
      </c>
    </row>
    <row r="610" spans="1:9" ht="12.75">
      <c r="A610">
        <v>596</v>
      </c>
      <c r="B610" t="s">
        <v>5538</v>
      </c>
      <c r="C610" t="s">
        <v>3722</v>
      </c>
      <c r="D610" t="s">
        <v>2780</v>
      </c>
      <c r="E610" t="s">
        <v>2818</v>
      </c>
      <c r="F610" t="str">
        <f>"88/380"</f>
        <v>88/380</v>
      </c>
      <c r="G610" t="s">
        <v>3261</v>
      </c>
      <c r="H610" t="s">
        <v>3723</v>
      </c>
      <c r="I610">
        <v>30.57</v>
      </c>
    </row>
    <row r="611" spans="1:9" ht="12.75">
      <c r="A611">
        <v>597</v>
      </c>
      <c r="B611" t="s">
        <v>3724</v>
      </c>
      <c r="C611" t="s">
        <v>3725</v>
      </c>
      <c r="D611" t="s">
        <v>3031</v>
      </c>
      <c r="E611" t="s">
        <v>3032</v>
      </c>
      <c r="F611" t="str">
        <f>"9/25"</f>
        <v>9/25</v>
      </c>
      <c r="G611" t="s">
        <v>3134</v>
      </c>
      <c r="H611" t="s">
        <v>3726</v>
      </c>
      <c r="I611">
        <v>30.56</v>
      </c>
    </row>
    <row r="612" spans="1:9" ht="12.75">
      <c r="A612">
        <v>598</v>
      </c>
      <c r="B612" t="s">
        <v>3191</v>
      </c>
      <c r="C612" t="s">
        <v>375</v>
      </c>
      <c r="D612" t="s">
        <v>2780</v>
      </c>
      <c r="E612" t="s">
        <v>2818</v>
      </c>
      <c r="F612" t="str">
        <f>"89/380"</f>
        <v>89/380</v>
      </c>
      <c r="G612" t="s">
        <v>3252</v>
      </c>
      <c r="H612" t="s">
        <v>3727</v>
      </c>
      <c r="I612">
        <v>30.56</v>
      </c>
    </row>
    <row r="613" spans="1:9" ht="12.75">
      <c r="A613">
        <v>599</v>
      </c>
      <c r="B613" t="s">
        <v>3728</v>
      </c>
      <c r="C613" t="s">
        <v>2868</v>
      </c>
      <c r="D613" t="s">
        <v>2780</v>
      </c>
      <c r="E613" t="s">
        <v>2823</v>
      </c>
      <c r="F613" t="str">
        <f>"222/668"</f>
        <v>222/668</v>
      </c>
      <c r="G613" t="s">
        <v>3729</v>
      </c>
      <c r="H613" t="s">
        <v>3730</v>
      </c>
      <c r="I613">
        <v>30.56</v>
      </c>
    </row>
    <row r="614" spans="1:9" ht="12.75">
      <c r="A614">
        <v>600</v>
      </c>
      <c r="B614" t="s">
        <v>3731</v>
      </c>
      <c r="C614" t="s">
        <v>3732</v>
      </c>
      <c r="D614" t="s">
        <v>2780</v>
      </c>
      <c r="E614" t="s">
        <v>2973</v>
      </c>
      <c r="F614" t="str">
        <f>"19/147"</f>
        <v>19/147</v>
      </c>
      <c r="G614" t="s">
        <v>3733</v>
      </c>
      <c r="H614" t="s">
        <v>3734</v>
      </c>
      <c r="I614">
        <v>30.56</v>
      </c>
    </row>
    <row r="615" spans="1:9" ht="12.75">
      <c r="A615">
        <v>601</v>
      </c>
      <c r="B615" t="s">
        <v>7157</v>
      </c>
      <c r="C615" t="s">
        <v>3141</v>
      </c>
      <c r="D615" t="s">
        <v>2780</v>
      </c>
      <c r="E615" t="s">
        <v>2823</v>
      </c>
      <c r="F615" t="str">
        <f>"223/668"</f>
        <v>223/668</v>
      </c>
      <c r="G615" t="s">
        <v>3729</v>
      </c>
      <c r="H615" t="s">
        <v>3734</v>
      </c>
      <c r="I615">
        <v>30.56</v>
      </c>
    </row>
    <row r="616" spans="1:9" ht="12.75">
      <c r="A616">
        <v>602</v>
      </c>
      <c r="B616" t="s">
        <v>3735</v>
      </c>
      <c r="C616" t="s">
        <v>2817</v>
      </c>
      <c r="D616" t="s">
        <v>2780</v>
      </c>
      <c r="E616" t="s">
        <v>2818</v>
      </c>
      <c r="F616" t="str">
        <f>"90/380"</f>
        <v>90/380</v>
      </c>
      <c r="G616" t="s">
        <v>5459</v>
      </c>
      <c r="H616" t="s">
        <v>3736</v>
      </c>
      <c r="I616">
        <v>30.56</v>
      </c>
    </row>
    <row r="617" spans="1:9" ht="12.75">
      <c r="A617">
        <v>603</v>
      </c>
      <c r="B617" t="s">
        <v>3737</v>
      </c>
      <c r="C617" t="s">
        <v>700</v>
      </c>
      <c r="D617" t="s">
        <v>2780</v>
      </c>
      <c r="E617" t="s">
        <v>2973</v>
      </c>
      <c r="F617" t="str">
        <f>"20/147"</f>
        <v>20/147</v>
      </c>
      <c r="G617" t="s">
        <v>3738</v>
      </c>
      <c r="H617" t="s">
        <v>3739</v>
      </c>
      <c r="I617">
        <v>30.55</v>
      </c>
    </row>
    <row r="618" spans="1:9" ht="12.75">
      <c r="A618">
        <v>604</v>
      </c>
      <c r="B618" t="s">
        <v>3090</v>
      </c>
      <c r="C618" t="s">
        <v>2814</v>
      </c>
      <c r="D618" t="s">
        <v>2780</v>
      </c>
      <c r="E618" t="s">
        <v>2823</v>
      </c>
      <c r="F618" t="str">
        <f>"224/668"</f>
        <v>224/668</v>
      </c>
      <c r="G618" t="s">
        <v>5436</v>
      </c>
      <c r="H618" t="s">
        <v>3740</v>
      </c>
      <c r="I618">
        <v>30.55</v>
      </c>
    </row>
    <row r="619" spans="1:9" ht="12.75">
      <c r="A619">
        <v>605</v>
      </c>
      <c r="B619" t="s">
        <v>3741</v>
      </c>
      <c r="C619" t="s">
        <v>3471</v>
      </c>
      <c r="D619" t="s">
        <v>2780</v>
      </c>
      <c r="E619" t="s">
        <v>2823</v>
      </c>
      <c r="F619" t="str">
        <f>"225/668"</f>
        <v>225/668</v>
      </c>
      <c r="G619" t="s">
        <v>3088</v>
      </c>
      <c r="H619" t="s">
        <v>3742</v>
      </c>
      <c r="I619">
        <v>30.54</v>
      </c>
    </row>
    <row r="620" spans="1:9" ht="12.75">
      <c r="A620">
        <v>606</v>
      </c>
      <c r="B620" t="s">
        <v>3743</v>
      </c>
      <c r="C620" t="s">
        <v>3744</v>
      </c>
      <c r="D620" t="s">
        <v>2780</v>
      </c>
      <c r="E620" t="s">
        <v>2818</v>
      </c>
      <c r="F620" t="str">
        <f>"91/380"</f>
        <v>91/380</v>
      </c>
      <c r="G620" t="s">
        <v>2693</v>
      </c>
      <c r="H620" t="s">
        <v>3745</v>
      </c>
      <c r="I620">
        <v>30.54</v>
      </c>
    </row>
    <row r="621" spans="1:9" ht="12.75">
      <c r="A621">
        <v>607</v>
      </c>
      <c r="B621" t="s">
        <v>3746</v>
      </c>
      <c r="C621" t="s">
        <v>3141</v>
      </c>
      <c r="D621" t="s">
        <v>2780</v>
      </c>
      <c r="E621" t="s">
        <v>2781</v>
      </c>
      <c r="F621" t="str">
        <f>"159/354"</f>
        <v>159/354</v>
      </c>
      <c r="G621" t="s">
        <v>2252</v>
      </c>
      <c r="H621" t="s">
        <v>3747</v>
      </c>
      <c r="I621">
        <v>30.54</v>
      </c>
    </row>
    <row r="622" spans="1:9" ht="12.75">
      <c r="A622">
        <v>608</v>
      </c>
      <c r="B622" t="s">
        <v>3748</v>
      </c>
      <c r="C622" t="s">
        <v>615</v>
      </c>
      <c r="D622" t="s">
        <v>2780</v>
      </c>
      <c r="E622" t="s">
        <v>2799</v>
      </c>
      <c r="F622" t="str">
        <f>"50/100"</f>
        <v>50/100</v>
      </c>
      <c r="G622" t="s">
        <v>3060</v>
      </c>
      <c r="H622" t="s">
        <v>3749</v>
      </c>
      <c r="I622">
        <v>30.53</v>
      </c>
    </row>
    <row r="623" spans="1:9" ht="12.75">
      <c r="A623">
        <v>609</v>
      </c>
      <c r="B623" t="s">
        <v>3750</v>
      </c>
      <c r="C623" t="s">
        <v>2807</v>
      </c>
      <c r="D623" t="s">
        <v>2780</v>
      </c>
      <c r="E623" t="s">
        <v>2818</v>
      </c>
      <c r="F623" t="str">
        <f>"92/380"</f>
        <v>92/380</v>
      </c>
      <c r="G623" t="s">
        <v>3067</v>
      </c>
      <c r="H623" t="s">
        <v>3751</v>
      </c>
      <c r="I623">
        <v>30.53</v>
      </c>
    </row>
    <row r="624" spans="1:9" ht="12.75">
      <c r="A624">
        <v>610</v>
      </c>
      <c r="B624" t="s">
        <v>3752</v>
      </c>
      <c r="C624" t="s">
        <v>504</v>
      </c>
      <c r="D624" t="s">
        <v>2780</v>
      </c>
      <c r="E624" t="s">
        <v>2818</v>
      </c>
      <c r="F624" t="str">
        <f>"93/380"</f>
        <v>93/380</v>
      </c>
      <c r="G624" t="s">
        <v>3011</v>
      </c>
      <c r="H624" t="s">
        <v>3753</v>
      </c>
      <c r="I624">
        <v>30.53</v>
      </c>
    </row>
    <row r="625" spans="1:9" ht="12.75">
      <c r="A625">
        <v>611</v>
      </c>
      <c r="B625" t="s">
        <v>3754</v>
      </c>
      <c r="C625" t="s">
        <v>615</v>
      </c>
      <c r="D625" t="s">
        <v>2780</v>
      </c>
      <c r="E625" t="s">
        <v>2823</v>
      </c>
      <c r="F625" t="str">
        <f>"226/668"</f>
        <v>226/668</v>
      </c>
      <c r="G625" t="s">
        <v>7708</v>
      </c>
      <c r="H625" t="s">
        <v>3755</v>
      </c>
      <c r="I625">
        <v>30.51</v>
      </c>
    </row>
    <row r="626" spans="1:9" ht="12.75">
      <c r="A626">
        <v>612</v>
      </c>
      <c r="B626" t="s">
        <v>3743</v>
      </c>
      <c r="C626" t="s">
        <v>2807</v>
      </c>
      <c r="D626" t="s">
        <v>2780</v>
      </c>
      <c r="E626" t="s">
        <v>2781</v>
      </c>
      <c r="F626" t="str">
        <f>"160/354"</f>
        <v>160/354</v>
      </c>
      <c r="G626" t="s">
        <v>687</v>
      </c>
      <c r="H626" t="s">
        <v>3756</v>
      </c>
      <c r="I626">
        <v>30.5</v>
      </c>
    </row>
    <row r="627" spans="1:9" ht="12.75">
      <c r="A627">
        <v>613</v>
      </c>
      <c r="B627" t="s">
        <v>1698</v>
      </c>
      <c r="C627" t="s">
        <v>2785</v>
      </c>
      <c r="D627" t="s">
        <v>2780</v>
      </c>
      <c r="E627" t="s">
        <v>2781</v>
      </c>
      <c r="F627" t="str">
        <f>"161/354"</f>
        <v>161/354</v>
      </c>
      <c r="G627" t="s">
        <v>3067</v>
      </c>
      <c r="H627" t="s">
        <v>3757</v>
      </c>
      <c r="I627">
        <v>30.5</v>
      </c>
    </row>
    <row r="628" spans="1:9" ht="12.75">
      <c r="A628">
        <v>614</v>
      </c>
      <c r="B628" t="s">
        <v>3758</v>
      </c>
      <c r="C628" t="s">
        <v>24</v>
      </c>
      <c r="D628" t="s">
        <v>2780</v>
      </c>
      <c r="E628" t="s">
        <v>2823</v>
      </c>
      <c r="F628" t="str">
        <f>"227/668"</f>
        <v>227/668</v>
      </c>
      <c r="G628" t="s">
        <v>3450</v>
      </c>
      <c r="H628" t="s">
        <v>3759</v>
      </c>
      <c r="I628">
        <v>30.48</v>
      </c>
    </row>
    <row r="629" spans="1:9" ht="12.75">
      <c r="A629">
        <v>615</v>
      </c>
      <c r="B629" t="s">
        <v>3378</v>
      </c>
      <c r="C629" t="s">
        <v>3760</v>
      </c>
      <c r="D629" t="s">
        <v>2780</v>
      </c>
      <c r="E629" t="s">
        <v>2818</v>
      </c>
      <c r="F629" t="str">
        <f>"94/380"</f>
        <v>94/380</v>
      </c>
      <c r="G629" t="s">
        <v>3289</v>
      </c>
      <c r="H629" t="s">
        <v>3761</v>
      </c>
      <c r="I629">
        <v>30.48</v>
      </c>
    </row>
    <row r="630" spans="1:9" ht="12.75">
      <c r="A630">
        <v>616</v>
      </c>
      <c r="B630" t="s">
        <v>2894</v>
      </c>
      <c r="C630" t="s">
        <v>2840</v>
      </c>
      <c r="D630" t="s">
        <v>2780</v>
      </c>
      <c r="E630" t="s">
        <v>2818</v>
      </c>
      <c r="F630" t="str">
        <f>"95/380"</f>
        <v>95/380</v>
      </c>
      <c r="G630" t="s">
        <v>3289</v>
      </c>
      <c r="H630" t="s">
        <v>3762</v>
      </c>
      <c r="I630">
        <v>30.47</v>
      </c>
    </row>
    <row r="631" spans="1:9" ht="12.75">
      <c r="A631">
        <v>617</v>
      </c>
      <c r="B631" t="s">
        <v>538</v>
      </c>
      <c r="C631" t="s">
        <v>3560</v>
      </c>
      <c r="D631" t="s">
        <v>2780</v>
      </c>
      <c r="E631" t="s">
        <v>2781</v>
      </c>
      <c r="F631" t="str">
        <f>"162/354"</f>
        <v>162/354</v>
      </c>
      <c r="G631" t="s">
        <v>3067</v>
      </c>
      <c r="H631" t="s">
        <v>3763</v>
      </c>
      <c r="I631">
        <v>30.46</v>
      </c>
    </row>
    <row r="632" spans="1:9" ht="12.75">
      <c r="A632">
        <v>618</v>
      </c>
      <c r="B632" t="s">
        <v>3764</v>
      </c>
      <c r="C632" t="s">
        <v>2830</v>
      </c>
      <c r="D632" t="s">
        <v>2780</v>
      </c>
      <c r="E632" t="s">
        <v>2818</v>
      </c>
      <c r="F632" t="str">
        <f>"96/380"</f>
        <v>96/380</v>
      </c>
      <c r="G632" t="s">
        <v>5612</v>
      </c>
      <c r="H632" t="s">
        <v>3765</v>
      </c>
      <c r="I632">
        <v>30.45</v>
      </c>
    </row>
    <row r="633" spans="1:9" ht="12.75">
      <c r="A633">
        <v>619</v>
      </c>
      <c r="B633" t="s">
        <v>3478</v>
      </c>
      <c r="C633" t="s">
        <v>2876</v>
      </c>
      <c r="D633" t="s">
        <v>2780</v>
      </c>
      <c r="E633" t="s">
        <v>2823</v>
      </c>
      <c r="F633" t="str">
        <f>"228/668"</f>
        <v>228/668</v>
      </c>
      <c r="G633" t="s">
        <v>5105</v>
      </c>
      <c r="H633" t="s">
        <v>3766</v>
      </c>
      <c r="I633">
        <v>30.42</v>
      </c>
    </row>
    <row r="634" spans="1:9" ht="12.75">
      <c r="A634">
        <v>620</v>
      </c>
      <c r="B634" t="s">
        <v>3767</v>
      </c>
      <c r="C634" t="s">
        <v>3576</v>
      </c>
      <c r="D634" t="s">
        <v>2780</v>
      </c>
      <c r="E634" t="s">
        <v>2823</v>
      </c>
      <c r="F634" t="str">
        <f>"229/668"</f>
        <v>229/668</v>
      </c>
      <c r="G634" t="s">
        <v>3587</v>
      </c>
      <c r="H634" t="s">
        <v>3768</v>
      </c>
      <c r="I634">
        <v>30.42</v>
      </c>
    </row>
    <row r="635" spans="1:9" ht="12.75">
      <c r="A635">
        <v>621</v>
      </c>
      <c r="B635" t="s">
        <v>3769</v>
      </c>
      <c r="C635" t="s">
        <v>84</v>
      </c>
      <c r="D635" t="s">
        <v>2780</v>
      </c>
      <c r="E635" t="s">
        <v>2818</v>
      </c>
      <c r="F635" t="str">
        <f>"97/380"</f>
        <v>97/380</v>
      </c>
      <c r="G635" t="s">
        <v>3770</v>
      </c>
      <c r="H635" t="s">
        <v>3771</v>
      </c>
      <c r="I635">
        <v>30.41</v>
      </c>
    </row>
    <row r="636" spans="1:9" ht="12.75">
      <c r="A636">
        <v>622</v>
      </c>
      <c r="B636" t="s">
        <v>3772</v>
      </c>
      <c r="C636" t="s">
        <v>109</v>
      </c>
      <c r="D636" t="s">
        <v>2780</v>
      </c>
      <c r="E636" t="s">
        <v>2823</v>
      </c>
      <c r="F636" t="str">
        <f>"230/668"</f>
        <v>230/668</v>
      </c>
      <c r="G636" t="s">
        <v>3733</v>
      </c>
      <c r="H636" t="s">
        <v>3773</v>
      </c>
      <c r="I636">
        <v>30.41</v>
      </c>
    </row>
    <row r="637" spans="1:9" ht="12.75">
      <c r="A637">
        <v>623</v>
      </c>
      <c r="B637" t="s">
        <v>3774</v>
      </c>
      <c r="C637" t="s">
        <v>3057</v>
      </c>
      <c r="D637" t="s">
        <v>2780</v>
      </c>
      <c r="E637" t="s">
        <v>2973</v>
      </c>
      <c r="F637" t="str">
        <f>"21/147"</f>
        <v>21/147</v>
      </c>
      <c r="G637" t="s">
        <v>3775</v>
      </c>
      <c r="H637" t="s">
        <v>3776</v>
      </c>
      <c r="I637">
        <v>30.4</v>
      </c>
    </row>
    <row r="638" spans="1:9" ht="12.75">
      <c r="A638">
        <v>624</v>
      </c>
      <c r="B638" t="s">
        <v>5005</v>
      </c>
      <c r="C638" t="s">
        <v>2963</v>
      </c>
      <c r="D638" t="s">
        <v>2780</v>
      </c>
      <c r="E638" t="s">
        <v>2973</v>
      </c>
      <c r="F638" t="str">
        <f>"22/147"</f>
        <v>22/147</v>
      </c>
      <c r="G638" t="s">
        <v>7731</v>
      </c>
      <c r="H638" t="s">
        <v>3777</v>
      </c>
      <c r="I638">
        <v>30.4</v>
      </c>
    </row>
    <row r="639" spans="1:9" ht="12.75">
      <c r="A639">
        <v>625</v>
      </c>
      <c r="B639" t="s">
        <v>3778</v>
      </c>
      <c r="C639" t="s">
        <v>2857</v>
      </c>
      <c r="D639" t="s">
        <v>2780</v>
      </c>
      <c r="E639" t="s">
        <v>2781</v>
      </c>
      <c r="F639" t="str">
        <f>"163/354"</f>
        <v>163/354</v>
      </c>
      <c r="G639" t="s">
        <v>3277</v>
      </c>
      <c r="H639" t="s">
        <v>3779</v>
      </c>
      <c r="I639">
        <v>30.4</v>
      </c>
    </row>
    <row r="640" spans="1:9" ht="12.75">
      <c r="A640">
        <v>626</v>
      </c>
      <c r="B640" t="s">
        <v>2317</v>
      </c>
      <c r="C640" t="s">
        <v>3286</v>
      </c>
      <c r="D640" t="s">
        <v>2780</v>
      </c>
      <c r="E640" t="s">
        <v>2823</v>
      </c>
      <c r="F640" t="str">
        <f>"231/668"</f>
        <v>231/668</v>
      </c>
      <c r="G640" t="s">
        <v>3780</v>
      </c>
      <c r="H640" t="s">
        <v>3781</v>
      </c>
      <c r="I640">
        <v>30.39</v>
      </c>
    </row>
    <row r="641" spans="1:9" ht="12.75">
      <c r="A641">
        <v>627</v>
      </c>
      <c r="B641" t="s">
        <v>3782</v>
      </c>
      <c r="C641" t="s">
        <v>2814</v>
      </c>
      <c r="D641" t="s">
        <v>2780</v>
      </c>
      <c r="E641" t="s">
        <v>2786</v>
      </c>
      <c r="F641" t="str">
        <f>"24/44"</f>
        <v>24/44</v>
      </c>
      <c r="G641" t="s">
        <v>59</v>
      </c>
      <c r="H641" t="s">
        <v>3783</v>
      </c>
      <c r="I641">
        <v>30.38</v>
      </c>
    </row>
    <row r="642" spans="1:9" ht="12.75">
      <c r="A642">
        <v>628</v>
      </c>
      <c r="B642" t="s">
        <v>3784</v>
      </c>
      <c r="C642" t="s">
        <v>2865</v>
      </c>
      <c r="D642" t="s">
        <v>2780</v>
      </c>
      <c r="E642" t="s">
        <v>2823</v>
      </c>
      <c r="F642" t="str">
        <f>"232/668"</f>
        <v>232/668</v>
      </c>
      <c r="G642" t="s">
        <v>3277</v>
      </c>
      <c r="H642" t="s">
        <v>3785</v>
      </c>
      <c r="I642">
        <v>30.38</v>
      </c>
    </row>
    <row r="643" spans="1:9" ht="12.75">
      <c r="A643">
        <v>629</v>
      </c>
      <c r="B643" t="s">
        <v>3786</v>
      </c>
      <c r="C643" t="s">
        <v>504</v>
      </c>
      <c r="D643" t="s">
        <v>2780</v>
      </c>
      <c r="E643" t="s">
        <v>2781</v>
      </c>
      <c r="F643" t="str">
        <f>"164/354"</f>
        <v>164/354</v>
      </c>
      <c r="G643" t="s">
        <v>3787</v>
      </c>
      <c r="H643" t="s">
        <v>3788</v>
      </c>
      <c r="I643">
        <v>30.37</v>
      </c>
    </row>
    <row r="644" spans="1:9" ht="12.75">
      <c r="A644">
        <v>630</v>
      </c>
      <c r="B644" t="s">
        <v>3789</v>
      </c>
      <c r="C644" t="s">
        <v>2861</v>
      </c>
      <c r="D644" t="s">
        <v>2780</v>
      </c>
      <c r="E644" t="s">
        <v>2818</v>
      </c>
      <c r="F644" t="str">
        <f>"98/380"</f>
        <v>98/380</v>
      </c>
      <c r="G644" t="s">
        <v>566</v>
      </c>
      <c r="H644" t="s">
        <v>3790</v>
      </c>
      <c r="I644">
        <v>30.36</v>
      </c>
    </row>
    <row r="645" spans="1:9" ht="12.75">
      <c r="A645">
        <v>631</v>
      </c>
      <c r="B645" t="s">
        <v>3609</v>
      </c>
      <c r="C645" t="s">
        <v>3346</v>
      </c>
      <c r="D645" t="s">
        <v>2780</v>
      </c>
      <c r="E645" t="s">
        <v>2823</v>
      </c>
      <c r="F645" t="str">
        <f>"233/668"</f>
        <v>233/668</v>
      </c>
      <c r="G645" t="s">
        <v>5389</v>
      </c>
      <c r="H645" t="s">
        <v>3791</v>
      </c>
      <c r="I645">
        <v>30.36</v>
      </c>
    </row>
    <row r="646" spans="1:9" ht="12.75">
      <c r="A646">
        <v>632</v>
      </c>
      <c r="B646" t="s">
        <v>3792</v>
      </c>
      <c r="C646" t="s">
        <v>2865</v>
      </c>
      <c r="D646" t="s">
        <v>2780</v>
      </c>
      <c r="E646" t="s">
        <v>2823</v>
      </c>
      <c r="F646" t="str">
        <f>"234/668"</f>
        <v>234/668</v>
      </c>
      <c r="G646" t="s">
        <v>566</v>
      </c>
      <c r="H646" t="s">
        <v>3793</v>
      </c>
      <c r="I646">
        <v>30.36</v>
      </c>
    </row>
    <row r="647" spans="1:9" ht="12.75">
      <c r="A647">
        <v>633</v>
      </c>
      <c r="B647" t="s">
        <v>5473</v>
      </c>
      <c r="C647" t="s">
        <v>2826</v>
      </c>
      <c r="D647" t="s">
        <v>2780</v>
      </c>
      <c r="E647" t="s">
        <v>2781</v>
      </c>
      <c r="F647" t="str">
        <f>"165/354"</f>
        <v>165/354</v>
      </c>
      <c r="G647" t="s">
        <v>3794</v>
      </c>
      <c r="H647" t="s">
        <v>3795</v>
      </c>
      <c r="I647">
        <v>30.36</v>
      </c>
    </row>
    <row r="648" spans="1:9" ht="12.75">
      <c r="A648">
        <v>634</v>
      </c>
      <c r="B648" t="s">
        <v>3796</v>
      </c>
      <c r="C648" t="s">
        <v>2956</v>
      </c>
      <c r="D648" t="s">
        <v>2780</v>
      </c>
      <c r="E648" t="s">
        <v>2973</v>
      </c>
      <c r="F648" t="str">
        <f>"23/147"</f>
        <v>23/147</v>
      </c>
      <c r="G648" t="s">
        <v>3261</v>
      </c>
      <c r="H648" t="s">
        <v>3797</v>
      </c>
      <c r="I648">
        <v>30.36</v>
      </c>
    </row>
    <row r="649" spans="1:9" ht="12.75">
      <c r="A649">
        <v>635</v>
      </c>
      <c r="B649" t="s">
        <v>3798</v>
      </c>
      <c r="C649" t="s">
        <v>3057</v>
      </c>
      <c r="D649" t="s">
        <v>2780</v>
      </c>
      <c r="E649" t="s">
        <v>2823</v>
      </c>
      <c r="F649" t="str">
        <f>"235/668"</f>
        <v>235/668</v>
      </c>
      <c r="G649" t="s">
        <v>3315</v>
      </c>
      <c r="H649" t="s">
        <v>3799</v>
      </c>
      <c r="I649">
        <v>30.35</v>
      </c>
    </row>
    <row r="650" spans="1:9" s="1" customFormat="1" ht="12.75">
      <c r="A650" s="1">
        <v>636</v>
      </c>
      <c r="B650" s="1" t="s">
        <v>5384</v>
      </c>
      <c r="C650" s="1" t="s">
        <v>3114</v>
      </c>
      <c r="D650" s="1" t="s">
        <v>2780</v>
      </c>
      <c r="E650" s="1" t="s">
        <v>2781</v>
      </c>
      <c r="F650" s="1" t="str">
        <f>"166/354"</f>
        <v>166/354</v>
      </c>
      <c r="G650" s="1" t="s">
        <v>5536</v>
      </c>
      <c r="H650" s="1" t="s">
        <v>3800</v>
      </c>
      <c r="I650" s="1">
        <v>30.35</v>
      </c>
    </row>
    <row r="651" spans="1:9" ht="12.75">
      <c r="A651">
        <v>637</v>
      </c>
      <c r="B651" t="s">
        <v>3801</v>
      </c>
      <c r="C651" t="s">
        <v>84</v>
      </c>
      <c r="D651" t="s">
        <v>2780</v>
      </c>
      <c r="E651" t="s">
        <v>2823</v>
      </c>
      <c r="F651" t="str">
        <f>"236/668"</f>
        <v>236/668</v>
      </c>
      <c r="G651" t="s">
        <v>3802</v>
      </c>
      <c r="H651" t="s">
        <v>3803</v>
      </c>
      <c r="I651">
        <v>30.34</v>
      </c>
    </row>
    <row r="652" spans="1:9" ht="12.75">
      <c r="A652">
        <v>638</v>
      </c>
      <c r="B652" t="s">
        <v>5125</v>
      </c>
      <c r="C652" t="s">
        <v>2966</v>
      </c>
      <c r="D652" t="s">
        <v>2780</v>
      </c>
      <c r="E652" t="s">
        <v>2818</v>
      </c>
      <c r="F652" t="str">
        <f>"99/380"</f>
        <v>99/380</v>
      </c>
      <c r="G652" t="s">
        <v>7685</v>
      </c>
      <c r="H652" t="s">
        <v>3804</v>
      </c>
      <c r="I652">
        <v>30.33</v>
      </c>
    </row>
    <row r="653" spans="1:9" ht="12.75">
      <c r="A653">
        <v>639</v>
      </c>
      <c r="B653" t="s">
        <v>885</v>
      </c>
      <c r="C653" t="s">
        <v>3017</v>
      </c>
      <c r="D653" t="s">
        <v>2780</v>
      </c>
      <c r="E653" t="s">
        <v>2781</v>
      </c>
      <c r="F653" t="str">
        <f>"167/354"</f>
        <v>167/354</v>
      </c>
      <c r="G653" t="s">
        <v>7685</v>
      </c>
      <c r="H653" t="s">
        <v>3805</v>
      </c>
      <c r="I653">
        <v>30.33</v>
      </c>
    </row>
    <row r="654" spans="1:9" ht="12.75">
      <c r="A654">
        <v>640</v>
      </c>
      <c r="B654" t="s">
        <v>3806</v>
      </c>
      <c r="C654" t="s">
        <v>2966</v>
      </c>
      <c r="D654" t="s">
        <v>2780</v>
      </c>
      <c r="E654" t="s">
        <v>2818</v>
      </c>
      <c r="F654" t="str">
        <f>"100/380"</f>
        <v>100/380</v>
      </c>
      <c r="G654" t="s">
        <v>3807</v>
      </c>
      <c r="H654" t="s">
        <v>3808</v>
      </c>
      <c r="I654">
        <v>30.32</v>
      </c>
    </row>
    <row r="655" spans="1:9" ht="12.75">
      <c r="A655">
        <v>641</v>
      </c>
      <c r="B655" t="s">
        <v>675</v>
      </c>
      <c r="C655" t="s">
        <v>2865</v>
      </c>
      <c r="D655" t="s">
        <v>2780</v>
      </c>
      <c r="E655" t="s">
        <v>2781</v>
      </c>
      <c r="F655" t="str">
        <f>"168/354"</f>
        <v>168/354</v>
      </c>
      <c r="G655" t="s">
        <v>4891</v>
      </c>
      <c r="H655" t="s">
        <v>3809</v>
      </c>
      <c r="I655">
        <v>30.32</v>
      </c>
    </row>
    <row r="656" spans="1:9" ht="12.75">
      <c r="A656">
        <v>642</v>
      </c>
      <c r="B656" t="s">
        <v>1673</v>
      </c>
      <c r="C656" t="s">
        <v>3810</v>
      </c>
      <c r="D656" t="s">
        <v>2780</v>
      </c>
      <c r="E656" t="s">
        <v>2818</v>
      </c>
      <c r="F656" t="str">
        <f>"101/380"</f>
        <v>101/380</v>
      </c>
      <c r="G656" t="s">
        <v>3811</v>
      </c>
      <c r="H656" t="s">
        <v>3812</v>
      </c>
      <c r="I656">
        <v>30.32</v>
      </c>
    </row>
    <row r="657" spans="1:9" ht="12.75">
      <c r="A657">
        <v>643</v>
      </c>
      <c r="B657" t="s">
        <v>3813</v>
      </c>
      <c r="C657" t="s">
        <v>3346</v>
      </c>
      <c r="D657" t="s">
        <v>2780</v>
      </c>
      <c r="E657" t="s">
        <v>2818</v>
      </c>
      <c r="F657" t="str">
        <f>"102/380"</f>
        <v>102/380</v>
      </c>
      <c r="G657" t="s">
        <v>5065</v>
      </c>
      <c r="H657" t="s">
        <v>3814</v>
      </c>
      <c r="I657">
        <v>30.32</v>
      </c>
    </row>
    <row r="658" spans="1:9" ht="12.75">
      <c r="A658">
        <v>644</v>
      </c>
      <c r="B658" t="s">
        <v>3815</v>
      </c>
      <c r="C658" t="s">
        <v>2785</v>
      </c>
      <c r="D658" t="s">
        <v>2780</v>
      </c>
      <c r="E658" t="s">
        <v>2799</v>
      </c>
      <c r="F658" t="str">
        <f>"51/100"</f>
        <v>51/100</v>
      </c>
      <c r="G658" t="s">
        <v>3807</v>
      </c>
      <c r="H658" t="s">
        <v>3816</v>
      </c>
      <c r="I658">
        <v>30.31</v>
      </c>
    </row>
    <row r="659" spans="1:9" ht="12.75">
      <c r="A659">
        <v>645</v>
      </c>
      <c r="B659" t="s">
        <v>654</v>
      </c>
      <c r="C659" t="s">
        <v>3123</v>
      </c>
      <c r="D659" t="s">
        <v>2780</v>
      </c>
      <c r="E659" t="s">
        <v>2823</v>
      </c>
      <c r="F659" t="str">
        <f>"237/668"</f>
        <v>237/668</v>
      </c>
      <c r="G659" t="s">
        <v>7062</v>
      </c>
      <c r="H659" t="s">
        <v>3817</v>
      </c>
      <c r="I659">
        <v>30.31</v>
      </c>
    </row>
    <row r="660" spans="1:9" ht="12.75">
      <c r="A660">
        <v>646</v>
      </c>
      <c r="B660" t="s">
        <v>3635</v>
      </c>
      <c r="C660" t="s">
        <v>2865</v>
      </c>
      <c r="D660" t="s">
        <v>2780</v>
      </c>
      <c r="E660" t="s">
        <v>2781</v>
      </c>
      <c r="F660" t="str">
        <f>"169/354"</f>
        <v>169/354</v>
      </c>
      <c r="G660" t="s">
        <v>7062</v>
      </c>
      <c r="H660" t="s">
        <v>3818</v>
      </c>
      <c r="I660">
        <v>30.31</v>
      </c>
    </row>
    <row r="661" spans="1:9" ht="12.75">
      <c r="A661">
        <v>647</v>
      </c>
      <c r="B661" t="s">
        <v>3819</v>
      </c>
      <c r="C661" t="s">
        <v>3057</v>
      </c>
      <c r="D661" t="s">
        <v>2780</v>
      </c>
      <c r="E661" t="s">
        <v>2818</v>
      </c>
      <c r="F661" t="str">
        <f>"103/380"</f>
        <v>103/380</v>
      </c>
      <c r="G661" t="s">
        <v>3820</v>
      </c>
      <c r="H661" t="s">
        <v>3821</v>
      </c>
      <c r="I661">
        <v>30.3</v>
      </c>
    </row>
    <row r="662" spans="1:9" ht="12.75">
      <c r="A662">
        <v>648</v>
      </c>
      <c r="B662" t="s">
        <v>3748</v>
      </c>
      <c r="C662" t="s">
        <v>3114</v>
      </c>
      <c r="D662" t="s">
        <v>2780</v>
      </c>
      <c r="E662" t="s">
        <v>2786</v>
      </c>
      <c r="F662" t="str">
        <f>"25/44"</f>
        <v>25/44</v>
      </c>
      <c r="G662" t="s">
        <v>3822</v>
      </c>
      <c r="H662" t="s">
        <v>3823</v>
      </c>
      <c r="I662">
        <v>30.3</v>
      </c>
    </row>
    <row r="663" spans="1:9" ht="12.75">
      <c r="A663">
        <v>649</v>
      </c>
      <c r="B663" t="s">
        <v>3824</v>
      </c>
      <c r="C663" t="s">
        <v>2857</v>
      </c>
      <c r="D663" t="s">
        <v>2780</v>
      </c>
      <c r="E663" t="s">
        <v>2818</v>
      </c>
      <c r="F663" t="str">
        <f>"104/380"</f>
        <v>104/380</v>
      </c>
      <c r="G663" t="s">
        <v>2290</v>
      </c>
      <c r="H663" t="s">
        <v>3825</v>
      </c>
      <c r="I663">
        <v>30.3</v>
      </c>
    </row>
    <row r="664" spans="1:9" ht="12.75">
      <c r="A664">
        <v>650</v>
      </c>
      <c r="B664" t="s">
        <v>3826</v>
      </c>
      <c r="C664" t="s">
        <v>2836</v>
      </c>
      <c r="D664" t="s">
        <v>2780</v>
      </c>
      <c r="E664" t="s">
        <v>2823</v>
      </c>
      <c r="F664" t="str">
        <f>"238/668"</f>
        <v>238/668</v>
      </c>
      <c r="G664" t="s">
        <v>3516</v>
      </c>
      <c r="H664" t="s">
        <v>3827</v>
      </c>
      <c r="I664">
        <v>30.29</v>
      </c>
    </row>
    <row r="665" spans="1:9" ht="12.75">
      <c r="A665">
        <v>651</v>
      </c>
      <c r="B665" t="s">
        <v>3828</v>
      </c>
      <c r="C665" t="s">
        <v>2861</v>
      </c>
      <c r="D665" t="s">
        <v>2780</v>
      </c>
      <c r="E665" t="s">
        <v>2818</v>
      </c>
      <c r="F665" t="str">
        <f>"105/380"</f>
        <v>105/380</v>
      </c>
      <c r="G665" t="s">
        <v>3829</v>
      </c>
      <c r="H665" t="s">
        <v>3830</v>
      </c>
      <c r="I665">
        <v>30.28</v>
      </c>
    </row>
    <row r="666" spans="1:9" ht="12.75">
      <c r="A666">
        <v>652</v>
      </c>
      <c r="B666" t="s">
        <v>3831</v>
      </c>
      <c r="C666" t="s">
        <v>7895</v>
      </c>
      <c r="D666" t="s">
        <v>2780</v>
      </c>
      <c r="E666" t="s">
        <v>2823</v>
      </c>
      <c r="F666" t="str">
        <f>"239/668"</f>
        <v>239/668</v>
      </c>
      <c r="G666" t="s">
        <v>3088</v>
      </c>
      <c r="H666" t="s">
        <v>3832</v>
      </c>
      <c r="I666">
        <v>30.28</v>
      </c>
    </row>
    <row r="667" spans="1:9" ht="12.75">
      <c r="A667">
        <v>653</v>
      </c>
      <c r="B667" t="s">
        <v>3833</v>
      </c>
      <c r="C667" t="s">
        <v>3174</v>
      </c>
      <c r="D667" t="s">
        <v>2780</v>
      </c>
      <c r="E667" t="s">
        <v>2823</v>
      </c>
      <c r="F667" t="str">
        <f>"240/668"</f>
        <v>240/668</v>
      </c>
      <c r="G667" t="s">
        <v>4882</v>
      </c>
      <c r="H667" t="s">
        <v>3834</v>
      </c>
      <c r="I667">
        <v>30.27</v>
      </c>
    </row>
    <row r="668" spans="1:9" ht="12.75">
      <c r="A668">
        <v>654</v>
      </c>
      <c r="B668" t="s">
        <v>3835</v>
      </c>
      <c r="C668" t="s">
        <v>2814</v>
      </c>
      <c r="D668" t="s">
        <v>2780</v>
      </c>
      <c r="E668" t="s">
        <v>2786</v>
      </c>
      <c r="F668" t="str">
        <f>"26/44"</f>
        <v>26/44</v>
      </c>
      <c r="G668" t="s">
        <v>3315</v>
      </c>
      <c r="H668" t="s">
        <v>3836</v>
      </c>
      <c r="I668">
        <v>30.26</v>
      </c>
    </row>
    <row r="669" spans="1:9" ht="12.75">
      <c r="A669">
        <v>655</v>
      </c>
      <c r="B669" t="s">
        <v>3311</v>
      </c>
      <c r="C669" t="s">
        <v>3057</v>
      </c>
      <c r="D669" t="s">
        <v>2780</v>
      </c>
      <c r="E669" t="s">
        <v>2818</v>
      </c>
      <c r="F669" t="str">
        <f>"106/380"</f>
        <v>106/380</v>
      </c>
      <c r="G669" t="s">
        <v>3261</v>
      </c>
      <c r="H669" t="s">
        <v>3837</v>
      </c>
      <c r="I669">
        <v>30.26</v>
      </c>
    </row>
    <row r="670" spans="1:9" ht="12.75">
      <c r="A670">
        <v>656</v>
      </c>
      <c r="B670" t="s">
        <v>7804</v>
      </c>
      <c r="C670" t="s">
        <v>3087</v>
      </c>
      <c r="D670" t="s">
        <v>2780</v>
      </c>
      <c r="E670" t="s">
        <v>2818</v>
      </c>
      <c r="F670" t="str">
        <f>"107/380"</f>
        <v>107/380</v>
      </c>
      <c r="G670" t="s">
        <v>3838</v>
      </c>
      <c r="H670" t="s">
        <v>3839</v>
      </c>
      <c r="I670">
        <v>30.26</v>
      </c>
    </row>
    <row r="671" spans="1:9" ht="12.75">
      <c r="A671">
        <v>657</v>
      </c>
      <c r="B671" t="s">
        <v>3840</v>
      </c>
      <c r="C671" t="s">
        <v>2963</v>
      </c>
      <c r="D671" t="s">
        <v>2780</v>
      </c>
      <c r="E671" t="s">
        <v>2799</v>
      </c>
      <c r="F671" t="str">
        <f>"52/100"</f>
        <v>52/100</v>
      </c>
      <c r="G671" t="s">
        <v>2804</v>
      </c>
      <c r="H671" t="s">
        <v>3841</v>
      </c>
      <c r="I671">
        <v>30.26</v>
      </c>
    </row>
    <row r="672" spans="1:9" ht="12.75">
      <c r="A672">
        <v>658</v>
      </c>
      <c r="B672" t="s">
        <v>3842</v>
      </c>
      <c r="C672" t="s">
        <v>3057</v>
      </c>
      <c r="D672" t="s">
        <v>2780</v>
      </c>
      <c r="E672" t="s">
        <v>2823</v>
      </c>
      <c r="F672" t="str">
        <f>"241/668"</f>
        <v>241/668</v>
      </c>
      <c r="G672" t="s">
        <v>2791</v>
      </c>
      <c r="H672" t="s">
        <v>3843</v>
      </c>
      <c r="I672">
        <v>30.25</v>
      </c>
    </row>
    <row r="673" spans="1:9" ht="12.75">
      <c r="A673">
        <v>659</v>
      </c>
      <c r="B673" t="s">
        <v>3844</v>
      </c>
      <c r="C673" t="s">
        <v>2830</v>
      </c>
      <c r="D673" t="s">
        <v>2780</v>
      </c>
      <c r="E673" t="s">
        <v>2781</v>
      </c>
      <c r="F673" t="str">
        <f>"170/354"</f>
        <v>170/354</v>
      </c>
      <c r="G673" t="s">
        <v>3845</v>
      </c>
      <c r="H673" t="s">
        <v>3846</v>
      </c>
      <c r="I673">
        <v>30.25</v>
      </c>
    </row>
    <row r="674" spans="1:9" ht="12.75">
      <c r="A674">
        <v>660</v>
      </c>
      <c r="B674" t="s">
        <v>3847</v>
      </c>
      <c r="C674" t="s">
        <v>3848</v>
      </c>
      <c r="D674" t="s">
        <v>2780</v>
      </c>
      <c r="E674" t="s">
        <v>2799</v>
      </c>
      <c r="F674" t="str">
        <f>"53/100"</f>
        <v>53/100</v>
      </c>
      <c r="G674" t="s">
        <v>3014</v>
      </c>
      <c r="H674" t="s">
        <v>3849</v>
      </c>
      <c r="I674">
        <v>30.24</v>
      </c>
    </row>
    <row r="675" spans="1:9" ht="12.75">
      <c r="A675">
        <v>661</v>
      </c>
      <c r="B675" t="s">
        <v>3850</v>
      </c>
      <c r="C675" t="s">
        <v>2836</v>
      </c>
      <c r="D675" t="s">
        <v>2780</v>
      </c>
      <c r="E675" t="s">
        <v>2799</v>
      </c>
      <c r="F675" t="str">
        <f>"54/100"</f>
        <v>54/100</v>
      </c>
      <c r="G675" t="s">
        <v>2498</v>
      </c>
      <c r="H675" t="s">
        <v>3851</v>
      </c>
      <c r="I675">
        <v>30.22</v>
      </c>
    </row>
    <row r="676" spans="1:9" ht="12.75">
      <c r="A676">
        <v>662</v>
      </c>
      <c r="B676" t="s">
        <v>3852</v>
      </c>
      <c r="C676" t="s">
        <v>2991</v>
      </c>
      <c r="D676" t="s">
        <v>2780</v>
      </c>
      <c r="E676" t="s">
        <v>2823</v>
      </c>
      <c r="F676" t="str">
        <f>"242/668"</f>
        <v>242/668</v>
      </c>
      <c r="G676" t="s">
        <v>5376</v>
      </c>
      <c r="H676" t="s">
        <v>3853</v>
      </c>
      <c r="I676">
        <v>30.22</v>
      </c>
    </row>
    <row r="677" spans="1:9" ht="12.75">
      <c r="A677">
        <v>663</v>
      </c>
      <c r="B677" t="s">
        <v>3854</v>
      </c>
      <c r="C677" t="s">
        <v>256</v>
      </c>
      <c r="D677" t="s">
        <v>2780</v>
      </c>
      <c r="E677" t="s">
        <v>2823</v>
      </c>
      <c r="F677" t="str">
        <f>"243/668"</f>
        <v>243/668</v>
      </c>
      <c r="G677" t="s">
        <v>999</v>
      </c>
      <c r="H677" t="s">
        <v>3855</v>
      </c>
      <c r="I677">
        <v>30.21</v>
      </c>
    </row>
    <row r="678" spans="1:9" ht="12.75">
      <c r="A678">
        <v>664</v>
      </c>
      <c r="B678" t="s">
        <v>3856</v>
      </c>
      <c r="C678" t="s">
        <v>2826</v>
      </c>
      <c r="D678" t="s">
        <v>2780</v>
      </c>
      <c r="E678" t="s">
        <v>2818</v>
      </c>
      <c r="F678" t="str">
        <f>"108/380"</f>
        <v>108/380</v>
      </c>
      <c r="G678" t="s">
        <v>3857</v>
      </c>
      <c r="H678" t="s">
        <v>3858</v>
      </c>
      <c r="I678">
        <v>30.19</v>
      </c>
    </row>
    <row r="679" spans="1:9" ht="12.75">
      <c r="A679">
        <v>665</v>
      </c>
      <c r="B679" t="s">
        <v>3859</v>
      </c>
      <c r="C679" t="s">
        <v>2830</v>
      </c>
      <c r="D679" t="s">
        <v>2780</v>
      </c>
      <c r="E679" t="s">
        <v>2818</v>
      </c>
      <c r="F679" t="str">
        <f>"109/380"</f>
        <v>109/380</v>
      </c>
      <c r="G679" t="s">
        <v>3860</v>
      </c>
      <c r="H679" t="s">
        <v>3861</v>
      </c>
      <c r="I679">
        <v>30.19</v>
      </c>
    </row>
    <row r="680" spans="1:9" ht="12.75">
      <c r="A680">
        <v>666</v>
      </c>
      <c r="B680" t="s">
        <v>5351</v>
      </c>
      <c r="C680" t="s">
        <v>2810</v>
      </c>
      <c r="D680" t="s">
        <v>2780</v>
      </c>
      <c r="E680" t="s">
        <v>2781</v>
      </c>
      <c r="F680" t="str">
        <f>"171/354"</f>
        <v>171/354</v>
      </c>
      <c r="G680" t="s">
        <v>3555</v>
      </c>
      <c r="H680" t="s">
        <v>3862</v>
      </c>
      <c r="I680">
        <v>30.18</v>
      </c>
    </row>
    <row r="681" spans="1:9" ht="12.75">
      <c r="A681">
        <v>667</v>
      </c>
      <c r="B681" t="s">
        <v>3863</v>
      </c>
      <c r="C681" t="s">
        <v>3164</v>
      </c>
      <c r="D681" t="s">
        <v>2780</v>
      </c>
      <c r="E681" t="s">
        <v>2781</v>
      </c>
      <c r="F681" t="str">
        <f>"172/354"</f>
        <v>172/354</v>
      </c>
      <c r="G681" t="s">
        <v>2693</v>
      </c>
      <c r="H681" t="s">
        <v>3864</v>
      </c>
      <c r="I681">
        <v>30.18</v>
      </c>
    </row>
    <row r="682" spans="1:9" ht="12.75">
      <c r="A682">
        <v>668</v>
      </c>
      <c r="B682" t="s">
        <v>3865</v>
      </c>
      <c r="C682" t="s">
        <v>2868</v>
      </c>
      <c r="D682" t="s">
        <v>2780</v>
      </c>
      <c r="E682" t="s">
        <v>2973</v>
      </c>
      <c r="F682" t="str">
        <f>"24/147"</f>
        <v>24/147</v>
      </c>
      <c r="G682" t="s">
        <v>5502</v>
      </c>
      <c r="H682" t="s">
        <v>3866</v>
      </c>
      <c r="I682">
        <v>30.18</v>
      </c>
    </row>
    <row r="683" spans="1:9" ht="12.75">
      <c r="A683">
        <v>669</v>
      </c>
      <c r="B683" t="s">
        <v>3867</v>
      </c>
      <c r="C683" t="s">
        <v>3337</v>
      </c>
      <c r="D683" t="s">
        <v>2780</v>
      </c>
      <c r="E683" t="s">
        <v>2823</v>
      </c>
      <c r="F683" t="str">
        <f>"244/668"</f>
        <v>244/668</v>
      </c>
      <c r="G683" t="s">
        <v>314</v>
      </c>
      <c r="H683" t="s">
        <v>3868</v>
      </c>
      <c r="I683">
        <v>30.18</v>
      </c>
    </row>
    <row r="684" spans="1:9" ht="12.75">
      <c r="A684">
        <v>670</v>
      </c>
      <c r="B684" t="s">
        <v>3869</v>
      </c>
      <c r="C684" t="s">
        <v>504</v>
      </c>
      <c r="D684" t="s">
        <v>2780</v>
      </c>
      <c r="E684" t="s">
        <v>2823</v>
      </c>
      <c r="F684" t="str">
        <f>"245/668"</f>
        <v>245/668</v>
      </c>
      <c r="G684" t="s">
        <v>3261</v>
      </c>
      <c r="H684" t="s">
        <v>3870</v>
      </c>
      <c r="I684">
        <v>30.18</v>
      </c>
    </row>
    <row r="685" spans="1:9" ht="12.75">
      <c r="A685">
        <v>671</v>
      </c>
      <c r="B685" t="s">
        <v>7020</v>
      </c>
      <c r="C685" t="s">
        <v>2836</v>
      </c>
      <c r="D685" t="s">
        <v>2780</v>
      </c>
      <c r="E685" t="s">
        <v>2823</v>
      </c>
      <c r="F685" t="str">
        <f>"246/668"</f>
        <v>246/668</v>
      </c>
      <c r="G685" t="s">
        <v>636</v>
      </c>
      <c r="H685" t="s">
        <v>3871</v>
      </c>
      <c r="I685">
        <v>30.17</v>
      </c>
    </row>
    <row r="686" spans="1:9" ht="12.75">
      <c r="A686">
        <v>672</v>
      </c>
      <c r="B686" t="s">
        <v>3872</v>
      </c>
      <c r="C686" t="s">
        <v>3387</v>
      </c>
      <c r="D686" t="s">
        <v>2780</v>
      </c>
      <c r="E686" t="s">
        <v>2823</v>
      </c>
      <c r="F686" t="str">
        <f>"247/668"</f>
        <v>247/668</v>
      </c>
      <c r="G686" t="s">
        <v>1570</v>
      </c>
      <c r="H686" t="s">
        <v>3873</v>
      </c>
      <c r="I686">
        <v>30.17</v>
      </c>
    </row>
    <row r="687" spans="1:9" ht="12.75">
      <c r="A687">
        <v>673</v>
      </c>
      <c r="B687" t="s">
        <v>5427</v>
      </c>
      <c r="C687" t="s">
        <v>3874</v>
      </c>
      <c r="D687" t="s">
        <v>2780</v>
      </c>
      <c r="E687" t="s">
        <v>2823</v>
      </c>
      <c r="F687" t="str">
        <f>"248/668"</f>
        <v>248/668</v>
      </c>
      <c r="G687" t="s">
        <v>3875</v>
      </c>
      <c r="H687" t="s">
        <v>3876</v>
      </c>
      <c r="I687">
        <v>30.17</v>
      </c>
    </row>
    <row r="688" spans="1:9" ht="12.75">
      <c r="A688">
        <v>674</v>
      </c>
      <c r="B688" t="s">
        <v>5492</v>
      </c>
      <c r="C688" t="s">
        <v>2836</v>
      </c>
      <c r="D688" t="s">
        <v>2780</v>
      </c>
      <c r="E688" t="s">
        <v>2823</v>
      </c>
      <c r="F688" t="str">
        <f>"249/668"</f>
        <v>249/668</v>
      </c>
      <c r="G688" t="s">
        <v>999</v>
      </c>
      <c r="H688" t="s">
        <v>3877</v>
      </c>
      <c r="I688">
        <v>30.16</v>
      </c>
    </row>
    <row r="689" spans="1:9" ht="12.75">
      <c r="A689">
        <v>675</v>
      </c>
      <c r="B689" t="s">
        <v>7773</v>
      </c>
      <c r="C689" t="s">
        <v>3387</v>
      </c>
      <c r="D689" t="s">
        <v>2780</v>
      </c>
      <c r="E689" t="s">
        <v>2781</v>
      </c>
      <c r="F689" t="str">
        <f>"173/354"</f>
        <v>173/354</v>
      </c>
      <c r="G689" t="s">
        <v>3046</v>
      </c>
      <c r="H689" t="s">
        <v>3878</v>
      </c>
      <c r="I689">
        <v>30.14</v>
      </c>
    </row>
    <row r="690" spans="1:9" ht="12.75">
      <c r="A690">
        <v>676</v>
      </c>
      <c r="B690" t="s">
        <v>2642</v>
      </c>
      <c r="C690" t="s">
        <v>2830</v>
      </c>
      <c r="D690" t="s">
        <v>2780</v>
      </c>
      <c r="E690" t="s">
        <v>2823</v>
      </c>
      <c r="F690" t="str">
        <f>"250/668"</f>
        <v>250/668</v>
      </c>
      <c r="G690" t="s">
        <v>2290</v>
      </c>
      <c r="H690" t="s">
        <v>3879</v>
      </c>
      <c r="I690">
        <v>30.14</v>
      </c>
    </row>
    <row r="691" spans="1:9" ht="12.75">
      <c r="A691">
        <v>677</v>
      </c>
      <c r="B691" t="s">
        <v>3880</v>
      </c>
      <c r="C691" t="s">
        <v>2836</v>
      </c>
      <c r="D691" t="s">
        <v>2780</v>
      </c>
      <c r="E691" t="s">
        <v>2823</v>
      </c>
      <c r="F691" t="str">
        <f>"251/668"</f>
        <v>251/668</v>
      </c>
      <c r="G691" t="s">
        <v>4951</v>
      </c>
      <c r="H691" t="s">
        <v>3881</v>
      </c>
      <c r="I691">
        <v>30.13</v>
      </c>
    </row>
    <row r="692" spans="1:9" ht="12.75">
      <c r="A692">
        <v>678</v>
      </c>
      <c r="B692" t="s">
        <v>7224</v>
      </c>
      <c r="C692" t="s">
        <v>3882</v>
      </c>
      <c r="D692" t="s">
        <v>2780</v>
      </c>
      <c r="E692" t="s">
        <v>2823</v>
      </c>
      <c r="F692" t="str">
        <f>"252/668"</f>
        <v>252/668</v>
      </c>
      <c r="G692" t="s">
        <v>7225</v>
      </c>
      <c r="H692" t="s">
        <v>3883</v>
      </c>
      <c r="I692">
        <v>30.13</v>
      </c>
    </row>
    <row r="693" spans="1:9" ht="12.75">
      <c r="A693">
        <v>679</v>
      </c>
      <c r="B693" t="s">
        <v>3884</v>
      </c>
      <c r="C693" t="s">
        <v>3445</v>
      </c>
      <c r="D693" t="s">
        <v>2780</v>
      </c>
      <c r="E693" t="s">
        <v>2823</v>
      </c>
      <c r="F693" t="str">
        <f>"253/668"</f>
        <v>253/668</v>
      </c>
      <c r="G693" t="s">
        <v>3885</v>
      </c>
      <c r="H693" t="s">
        <v>3886</v>
      </c>
      <c r="I693">
        <v>30.13</v>
      </c>
    </row>
    <row r="694" spans="1:9" ht="12.75">
      <c r="A694">
        <v>680</v>
      </c>
      <c r="B694" t="s">
        <v>3887</v>
      </c>
      <c r="C694" t="s">
        <v>3888</v>
      </c>
      <c r="D694" t="s">
        <v>2780</v>
      </c>
      <c r="E694" t="s">
        <v>2818</v>
      </c>
      <c r="F694" t="str">
        <f>"110/380"</f>
        <v>110/380</v>
      </c>
      <c r="G694" t="s">
        <v>3889</v>
      </c>
      <c r="H694" t="s">
        <v>3890</v>
      </c>
      <c r="I694">
        <v>30.12</v>
      </c>
    </row>
    <row r="695" spans="1:9" ht="12.75">
      <c r="A695">
        <v>681</v>
      </c>
      <c r="B695" t="s">
        <v>3891</v>
      </c>
      <c r="C695" t="s">
        <v>3892</v>
      </c>
      <c r="D695" t="s">
        <v>2780</v>
      </c>
      <c r="E695" t="s">
        <v>2973</v>
      </c>
      <c r="F695" t="str">
        <f>"25/147"</f>
        <v>25/147</v>
      </c>
      <c r="G695" t="s">
        <v>3555</v>
      </c>
      <c r="H695" t="s">
        <v>3893</v>
      </c>
      <c r="I695">
        <v>30.11</v>
      </c>
    </row>
    <row r="696" spans="1:9" ht="12.75">
      <c r="A696">
        <v>682</v>
      </c>
      <c r="B696" t="s">
        <v>3894</v>
      </c>
      <c r="C696" t="s">
        <v>2895</v>
      </c>
      <c r="D696" t="s">
        <v>2780</v>
      </c>
      <c r="E696" t="s">
        <v>2823</v>
      </c>
      <c r="F696" t="str">
        <f>"254/668"</f>
        <v>254/668</v>
      </c>
      <c r="G696" t="s">
        <v>3543</v>
      </c>
      <c r="H696" t="s">
        <v>3895</v>
      </c>
      <c r="I696">
        <v>30.11</v>
      </c>
    </row>
    <row r="697" spans="1:9" ht="12.75">
      <c r="A697">
        <v>683</v>
      </c>
      <c r="B697" t="s">
        <v>3896</v>
      </c>
      <c r="C697" t="s">
        <v>3475</v>
      </c>
      <c r="D697" t="s">
        <v>2780</v>
      </c>
      <c r="E697" t="s">
        <v>2973</v>
      </c>
      <c r="F697" t="str">
        <f>"26/147"</f>
        <v>26/147</v>
      </c>
      <c r="G697" t="s">
        <v>3897</v>
      </c>
      <c r="H697" t="s">
        <v>3898</v>
      </c>
      <c r="I697">
        <v>30.11</v>
      </c>
    </row>
    <row r="698" spans="1:9" ht="12.75">
      <c r="A698">
        <v>684</v>
      </c>
      <c r="B698" t="s">
        <v>5514</v>
      </c>
      <c r="C698" t="s">
        <v>2830</v>
      </c>
      <c r="D698" t="s">
        <v>2780</v>
      </c>
      <c r="E698" t="s">
        <v>2818</v>
      </c>
      <c r="F698" t="str">
        <f>"111/380"</f>
        <v>111/380</v>
      </c>
      <c r="G698" t="s">
        <v>4989</v>
      </c>
      <c r="H698" t="s">
        <v>3899</v>
      </c>
      <c r="I698">
        <v>30.1</v>
      </c>
    </row>
    <row r="699" spans="1:9" ht="12.75">
      <c r="A699">
        <v>685</v>
      </c>
      <c r="B699" t="s">
        <v>3900</v>
      </c>
      <c r="C699" t="s">
        <v>2966</v>
      </c>
      <c r="D699" t="s">
        <v>2780</v>
      </c>
      <c r="E699" t="s">
        <v>2823</v>
      </c>
      <c r="F699" t="str">
        <f>"255/668"</f>
        <v>255/668</v>
      </c>
      <c r="G699" t="s">
        <v>343</v>
      </c>
      <c r="H699" t="s">
        <v>3901</v>
      </c>
      <c r="I699">
        <v>30.1</v>
      </c>
    </row>
    <row r="700" spans="1:9" ht="12.75">
      <c r="A700">
        <v>686</v>
      </c>
      <c r="B700" t="s">
        <v>3902</v>
      </c>
      <c r="C700" t="s">
        <v>2868</v>
      </c>
      <c r="D700" t="s">
        <v>2780</v>
      </c>
      <c r="E700" t="s">
        <v>2823</v>
      </c>
      <c r="F700" t="str">
        <f>"256/668"</f>
        <v>256/668</v>
      </c>
      <c r="G700" t="s">
        <v>57</v>
      </c>
      <c r="H700" t="s">
        <v>3903</v>
      </c>
      <c r="I700">
        <v>30.09</v>
      </c>
    </row>
    <row r="701" spans="1:9" ht="12.75">
      <c r="A701">
        <v>687</v>
      </c>
      <c r="B701" t="s">
        <v>3904</v>
      </c>
      <c r="C701" t="s">
        <v>842</v>
      </c>
      <c r="D701" t="s">
        <v>2780</v>
      </c>
      <c r="E701" t="s">
        <v>2823</v>
      </c>
      <c r="F701" t="str">
        <f>"257/668"</f>
        <v>257/668</v>
      </c>
      <c r="G701" t="s">
        <v>3905</v>
      </c>
      <c r="H701" t="s">
        <v>3906</v>
      </c>
      <c r="I701">
        <v>30.09</v>
      </c>
    </row>
    <row r="702" spans="1:9" ht="12.75">
      <c r="A702">
        <v>688</v>
      </c>
      <c r="B702" t="s">
        <v>3907</v>
      </c>
      <c r="C702" t="s">
        <v>2861</v>
      </c>
      <c r="D702" t="s">
        <v>2780</v>
      </c>
      <c r="E702" t="s">
        <v>2823</v>
      </c>
      <c r="F702" t="str">
        <f>"258/668"</f>
        <v>258/668</v>
      </c>
      <c r="G702" t="s">
        <v>57</v>
      </c>
      <c r="H702" t="s">
        <v>3908</v>
      </c>
      <c r="I702">
        <v>30.09</v>
      </c>
    </row>
    <row r="703" spans="1:9" ht="12.75">
      <c r="A703">
        <v>689</v>
      </c>
      <c r="B703" t="s">
        <v>3909</v>
      </c>
      <c r="C703" t="s">
        <v>2865</v>
      </c>
      <c r="D703" t="s">
        <v>2780</v>
      </c>
      <c r="E703" t="s">
        <v>2823</v>
      </c>
      <c r="F703" t="str">
        <f>"259/668"</f>
        <v>259/668</v>
      </c>
      <c r="G703" t="s">
        <v>3857</v>
      </c>
      <c r="H703" t="s">
        <v>3910</v>
      </c>
      <c r="I703">
        <v>30.09</v>
      </c>
    </row>
    <row r="704" spans="1:9" ht="12.75">
      <c r="A704">
        <v>690</v>
      </c>
      <c r="B704" t="s">
        <v>5311</v>
      </c>
      <c r="C704" t="s">
        <v>2830</v>
      </c>
      <c r="D704" t="s">
        <v>2780</v>
      </c>
      <c r="E704" t="s">
        <v>2818</v>
      </c>
      <c r="F704" t="str">
        <f>"112/380"</f>
        <v>112/380</v>
      </c>
      <c r="G704" t="s">
        <v>1791</v>
      </c>
      <c r="H704" t="s">
        <v>3911</v>
      </c>
      <c r="I704">
        <v>30.08</v>
      </c>
    </row>
    <row r="705" spans="1:9" ht="12.75">
      <c r="A705">
        <v>691</v>
      </c>
      <c r="B705" t="s">
        <v>3912</v>
      </c>
      <c r="C705" t="s">
        <v>3346</v>
      </c>
      <c r="D705" t="s">
        <v>2780</v>
      </c>
      <c r="E705" t="s">
        <v>2799</v>
      </c>
      <c r="F705" t="str">
        <f>"55/100"</f>
        <v>55/100</v>
      </c>
      <c r="G705" t="s">
        <v>343</v>
      </c>
      <c r="H705" t="s">
        <v>3913</v>
      </c>
      <c r="I705">
        <v>30.08</v>
      </c>
    </row>
    <row r="706" spans="1:9" ht="12.75">
      <c r="A706">
        <v>692</v>
      </c>
      <c r="B706" t="s">
        <v>3914</v>
      </c>
      <c r="C706" t="s">
        <v>3915</v>
      </c>
      <c r="D706" t="s">
        <v>2780</v>
      </c>
      <c r="E706" t="s">
        <v>2781</v>
      </c>
      <c r="F706" t="str">
        <f>"174/354"</f>
        <v>174/354</v>
      </c>
      <c r="G706" t="s">
        <v>3584</v>
      </c>
      <c r="H706" t="s">
        <v>3916</v>
      </c>
      <c r="I706">
        <v>30.07</v>
      </c>
    </row>
    <row r="707" spans="1:9" ht="12.75">
      <c r="A707">
        <v>693</v>
      </c>
      <c r="B707" t="s">
        <v>3917</v>
      </c>
      <c r="C707" t="s">
        <v>3174</v>
      </c>
      <c r="D707" t="s">
        <v>2780</v>
      </c>
      <c r="E707" t="s">
        <v>3209</v>
      </c>
      <c r="F707" t="str">
        <f>"4/13"</f>
        <v>4/13</v>
      </c>
      <c r="G707" t="s">
        <v>3088</v>
      </c>
      <c r="H707" t="s">
        <v>3918</v>
      </c>
      <c r="I707">
        <v>30.07</v>
      </c>
    </row>
    <row r="708" spans="1:9" ht="12.75">
      <c r="A708">
        <v>694</v>
      </c>
      <c r="B708" t="s">
        <v>3919</v>
      </c>
      <c r="C708" t="s">
        <v>2830</v>
      </c>
      <c r="D708" t="s">
        <v>2780</v>
      </c>
      <c r="E708" t="s">
        <v>2818</v>
      </c>
      <c r="F708" t="str">
        <f>"113/380"</f>
        <v>113/380</v>
      </c>
      <c r="G708" t="s">
        <v>3920</v>
      </c>
      <c r="H708" t="s">
        <v>3921</v>
      </c>
      <c r="I708">
        <v>30.06</v>
      </c>
    </row>
    <row r="709" spans="1:9" ht="12.75">
      <c r="A709">
        <v>695</v>
      </c>
      <c r="B709" t="s">
        <v>3922</v>
      </c>
      <c r="C709" t="s">
        <v>3923</v>
      </c>
      <c r="D709" t="s">
        <v>2780</v>
      </c>
      <c r="E709" t="s">
        <v>2818</v>
      </c>
      <c r="F709" t="str">
        <f>"114/380"</f>
        <v>114/380</v>
      </c>
      <c r="G709" t="s">
        <v>3206</v>
      </c>
      <c r="H709" t="s">
        <v>3924</v>
      </c>
      <c r="I709">
        <v>30.06</v>
      </c>
    </row>
    <row r="710" spans="1:9" ht="12.75">
      <c r="A710">
        <v>696</v>
      </c>
      <c r="B710" t="s">
        <v>3919</v>
      </c>
      <c r="C710" t="s">
        <v>2868</v>
      </c>
      <c r="D710" t="s">
        <v>2780</v>
      </c>
      <c r="E710" t="s">
        <v>2818</v>
      </c>
      <c r="F710" t="str">
        <f>"115/380"</f>
        <v>115/380</v>
      </c>
      <c r="G710" t="s">
        <v>3920</v>
      </c>
      <c r="H710" t="s">
        <v>3925</v>
      </c>
      <c r="I710">
        <v>30.06</v>
      </c>
    </row>
    <row r="711" spans="1:9" ht="12.75">
      <c r="A711">
        <v>697</v>
      </c>
      <c r="B711" t="s">
        <v>3926</v>
      </c>
      <c r="C711" t="s">
        <v>3174</v>
      </c>
      <c r="D711" t="s">
        <v>2780</v>
      </c>
      <c r="E711" t="s">
        <v>2781</v>
      </c>
      <c r="F711" t="str">
        <f>"175/354"</f>
        <v>175/354</v>
      </c>
      <c r="G711" t="s">
        <v>5285</v>
      </c>
      <c r="H711" t="s">
        <v>3927</v>
      </c>
      <c r="I711">
        <v>30.05</v>
      </c>
    </row>
    <row r="712" spans="1:9" ht="12.75">
      <c r="A712">
        <v>698</v>
      </c>
      <c r="B712" t="s">
        <v>3928</v>
      </c>
      <c r="C712" t="s">
        <v>2362</v>
      </c>
      <c r="D712" t="s">
        <v>2780</v>
      </c>
      <c r="E712" t="s">
        <v>2823</v>
      </c>
      <c r="F712" t="str">
        <f>"260/668"</f>
        <v>260/668</v>
      </c>
      <c r="G712" t="s">
        <v>4874</v>
      </c>
      <c r="H712" t="s">
        <v>3929</v>
      </c>
      <c r="I712">
        <v>30.05</v>
      </c>
    </row>
    <row r="713" spans="1:9" ht="12.75">
      <c r="A713">
        <v>699</v>
      </c>
      <c r="B713" t="s">
        <v>3930</v>
      </c>
      <c r="C713" t="s">
        <v>2826</v>
      </c>
      <c r="D713" t="s">
        <v>2780</v>
      </c>
      <c r="E713" t="s">
        <v>2823</v>
      </c>
      <c r="F713" t="str">
        <f>"261/668"</f>
        <v>261/668</v>
      </c>
      <c r="G713" t="s">
        <v>3555</v>
      </c>
      <c r="H713" t="s">
        <v>3931</v>
      </c>
      <c r="I713">
        <v>30.05</v>
      </c>
    </row>
    <row r="714" spans="1:9" ht="12.75">
      <c r="A714">
        <v>700</v>
      </c>
      <c r="B714" t="s">
        <v>1960</v>
      </c>
      <c r="C714" t="s">
        <v>3932</v>
      </c>
      <c r="D714" t="s">
        <v>3031</v>
      </c>
      <c r="E714" t="s">
        <v>3244</v>
      </c>
      <c r="F714" t="str">
        <f>"12/40"</f>
        <v>12/40</v>
      </c>
      <c r="G714" t="s">
        <v>3338</v>
      </c>
      <c r="H714" t="s">
        <v>3933</v>
      </c>
      <c r="I714">
        <v>30.05</v>
      </c>
    </row>
    <row r="715" spans="1:9" ht="12.75">
      <c r="A715">
        <v>701</v>
      </c>
      <c r="B715" t="s">
        <v>2986</v>
      </c>
      <c r="C715" t="s">
        <v>2865</v>
      </c>
      <c r="D715" t="s">
        <v>2780</v>
      </c>
      <c r="E715" t="s">
        <v>2823</v>
      </c>
      <c r="F715" t="str">
        <f>"262/668"</f>
        <v>262/668</v>
      </c>
      <c r="G715" t="s">
        <v>3934</v>
      </c>
      <c r="H715" t="s">
        <v>3935</v>
      </c>
      <c r="I715">
        <v>30.03</v>
      </c>
    </row>
    <row r="716" spans="1:9" ht="12.75">
      <c r="A716">
        <v>702</v>
      </c>
      <c r="B716" t="s">
        <v>3936</v>
      </c>
      <c r="C716" t="s">
        <v>3174</v>
      </c>
      <c r="D716" t="s">
        <v>2780</v>
      </c>
      <c r="E716" t="s">
        <v>2823</v>
      </c>
      <c r="F716" t="str">
        <f>"263/668"</f>
        <v>263/668</v>
      </c>
      <c r="G716" t="s">
        <v>950</v>
      </c>
      <c r="H716" t="s">
        <v>3937</v>
      </c>
      <c r="I716">
        <v>30.02</v>
      </c>
    </row>
    <row r="717" spans="1:9" ht="12.75">
      <c r="A717">
        <v>703</v>
      </c>
      <c r="B717" t="s">
        <v>3938</v>
      </c>
      <c r="C717" t="s">
        <v>2931</v>
      </c>
      <c r="D717" t="s">
        <v>2780</v>
      </c>
      <c r="E717" t="s">
        <v>2799</v>
      </c>
      <c r="F717" t="str">
        <f>"56/100"</f>
        <v>56/100</v>
      </c>
      <c r="G717" t="s">
        <v>18</v>
      </c>
      <c r="H717" t="s">
        <v>3939</v>
      </c>
      <c r="I717">
        <v>30.01</v>
      </c>
    </row>
    <row r="718" spans="1:9" ht="12.75">
      <c r="A718">
        <v>704</v>
      </c>
      <c r="B718" t="s">
        <v>5005</v>
      </c>
      <c r="C718" t="s">
        <v>3219</v>
      </c>
      <c r="D718" t="s">
        <v>2780</v>
      </c>
      <c r="E718" t="s">
        <v>2818</v>
      </c>
      <c r="F718" t="str">
        <f>"116/380"</f>
        <v>116/380</v>
      </c>
      <c r="G718" t="s">
        <v>563</v>
      </c>
      <c r="H718" t="s">
        <v>3940</v>
      </c>
      <c r="I718">
        <v>30.01</v>
      </c>
    </row>
    <row r="719" spans="1:9" ht="12.75">
      <c r="A719">
        <v>705</v>
      </c>
      <c r="B719" t="s">
        <v>3941</v>
      </c>
      <c r="C719" t="s">
        <v>3114</v>
      </c>
      <c r="D719" t="s">
        <v>2780</v>
      </c>
      <c r="E719" t="s">
        <v>2823</v>
      </c>
      <c r="F719" t="str">
        <f>"264/668"</f>
        <v>264/668</v>
      </c>
      <c r="G719" t="s">
        <v>3942</v>
      </c>
      <c r="H719" t="s">
        <v>3943</v>
      </c>
      <c r="I719">
        <v>30.01</v>
      </c>
    </row>
    <row r="720" spans="1:9" ht="12.75">
      <c r="A720">
        <v>706</v>
      </c>
      <c r="B720" t="s">
        <v>3944</v>
      </c>
      <c r="C720" t="s">
        <v>504</v>
      </c>
      <c r="D720" t="s">
        <v>2780</v>
      </c>
      <c r="E720" t="s">
        <v>2781</v>
      </c>
      <c r="F720" t="str">
        <f>"176/354"</f>
        <v>176/354</v>
      </c>
      <c r="G720" t="s">
        <v>3261</v>
      </c>
      <c r="H720" t="s">
        <v>3945</v>
      </c>
      <c r="I720">
        <v>30</v>
      </c>
    </row>
    <row r="721" spans="1:9" ht="12.75">
      <c r="A721">
        <v>707</v>
      </c>
      <c r="B721" t="s">
        <v>3946</v>
      </c>
      <c r="C721" t="s">
        <v>1149</v>
      </c>
      <c r="D721" t="s">
        <v>3031</v>
      </c>
      <c r="E721" t="s">
        <v>3032</v>
      </c>
      <c r="F721" t="str">
        <f>"10/25"</f>
        <v>10/25</v>
      </c>
      <c r="G721" t="s">
        <v>3947</v>
      </c>
      <c r="H721" t="s">
        <v>3948</v>
      </c>
      <c r="I721">
        <v>29.99</v>
      </c>
    </row>
    <row r="722" spans="1:9" ht="12.75">
      <c r="A722">
        <v>708</v>
      </c>
      <c r="B722" t="s">
        <v>3949</v>
      </c>
      <c r="C722" t="s">
        <v>2807</v>
      </c>
      <c r="D722" t="s">
        <v>2780</v>
      </c>
      <c r="E722" t="s">
        <v>2823</v>
      </c>
      <c r="F722" t="str">
        <f>"265/668"</f>
        <v>265/668</v>
      </c>
      <c r="G722" t="s">
        <v>59</v>
      </c>
      <c r="H722" t="s">
        <v>3950</v>
      </c>
      <c r="I722">
        <v>29.99</v>
      </c>
    </row>
    <row r="723" spans="1:9" ht="12.75">
      <c r="A723">
        <v>709</v>
      </c>
      <c r="B723" t="s">
        <v>7555</v>
      </c>
      <c r="C723" t="s">
        <v>3951</v>
      </c>
      <c r="D723" t="s">
        <v>2780</v>
      </c>
      <c r="E723" t="s">
        <v>2823</v>
      </c>
      <c r="F723" t="str">
        <f>"266/668"</f>
        <v>266/668</v>
      </c>
      <c r="G723" t="s">
        <v>2804</v>
      </c>
      <c r="H723" t="s">
        <v>3952</v>
      </c>
      <c r="I723">
        <v>29.98</v>
      </c>
    </row>
    <row r="724" spans="1:9" ht="12.75">
      <c r="A724">
        <v>710</v>
      </c>
      <c r="B724" t="s">
        <v>3953</v>
      </c>
      <c r="C724" t="s">
        <v>2857</v>
      </c>
      <c r="D724" t="s">
        <v>2780</v>
      </c>
      <c r="E724" t="s">
        <v>2823</v>
      </c>
      <c r="F724" t="str">
        <f>"267/668"</f>
        <v>267/668</v>
      </c>
      <c r="G724" t="s">
        <v>3052</v>
      </c>
      <c r="H724" t="s">
        <v>3954</v>
      </c>
      <c r="I724">
        <v>29.98</v>
      </c>
    </row>
    <row r="725" spans="1:9" ht="12.75">
      <c r="A725">
        <v>711</v>
      </c>
      <c r="B725" t="s">
        <v>3955</v>
      </c>
      <c r="C725" t="s">
        <v>3417</v>
      </c>
      <c r="D725" t="s">
        <v>2780</v>
      </c>
      <c r="E725" t="s">
        <v>2818</v>
      </c>
      <c r="F725" t="str">
        <f>"117/380"</f>
        <v>117/380</v>
      </c>
      <c r="G725" t="s">
        <v>2877</v>
      </c>
      <c r="H725" t="s">
        <v>3956</v>
      </c>
      <c r="I725">
        <v>29.97</v>
      </c>
    </row>
    <row r="726" spans="1:9" ht="12.75">
      <c r="A726">
        <v>712</v>
      </c>
      <c r="B726" t="s">
        <v>3957</v>
      </c>
      <c r="C726" t="s">
        <v>2861</v>
      </c>
      <c r="D726" t="s">
        <v>2780</v>
      </c>
      <c r="E726" t="s">
        <v>2818</v>
      </c>
      <c r="F726" t="str">
        <f>"118/380"</f>
        <v>118/380</v>
      </c>
      <c r="G726" t="s">
        <v>3958</v>
      </c>
      <c r="H726" t="s">
        <v>3959</v>
      </c>
      <c r="I726">
        <v>29.97</v>
      </c>
    </row>
    <row r="727" spans="1:9" ht="12.75">
      <c r="A727">
        <v>713</v>
      </c>
      <c r="B727" t="s">
        <v>3960</v>
      </c>
      <c r="C727" t="s">
        <v>3438</v>
      </c>
      <c r="D727" t="s">
        <v>2780</v>
      </c>
      <c r="E727" t="s">
        <v>2786</v>
      </c>
      <c r="F727" t="str">
        <f>"27/44"</f>
        <v>27/44</v>
      </c>
      <c r="G727" t="s">
        <v>2804</v>
      </c>
      <c r="H727" t="s">
        <v>3961</v>
      </c>
      <c r="I727">
        <v>29.97</v>
      </c>
    </row>
    <row r="728" spans="1:9" ht="12.75">
      <c r="A728">
        <v>714</v>
      </c>
      <c r="B728" t="s">
        <v>3962</v>
      </c>
      <c r="C728" t="s">
        <v>2836</v>
      </c>
      <c r="D728" t="s">
        <v>2780</v>
      </c>
      <c r="E728" t="s">
        <v>2781</v>
      </c>
      <c r="F728" t="str">
        <f>"177/354"</f>
        <v>177/354</v>
      </c>
      <c r="G728" t="s">
        <v>1016</v>
      </c>
      <c r="H728" t="s">
        <v>3961</v>
      </c>
      <c r="I728">
        <v>29.97</v>
      </c>
    </row>
    <row r="729" spans="1:9" ht="12.75">
      <c r="A729">
        <v>715</v>
      </c>
      <c r="B729" t="s">
        <v>3963</v>
      </c>
      <c r="C729" t="s">
        <v>2956</v>
      </c>
      <c r="D729" t="s">
        <v>2780</v>
      </c>
      <c r="E729" t="s">
        <v>2823</v>
      </c>
      <c r="F729" t="str">
        <f>"268/668"</f>
        <v>268/668</v>
      </c>
      <c r="G729" t="s">
        <v>1039</v>
      </c>
      <c r="H729" t="s">
        <v>3964</v>
      </c>
      <c r="I729">
        <v>29.96</v>
      </c>
    </row>
    <row r="730" spans="1:9" ht="12.75">
      <c r="A730">
        <v>716</v>
      </c>
      <c r="B730" t="s">
        <v>3965</v>
      </c>
      <c r="C730" t="s">
        <v>2857</v>
      </c>
      <c r="D730" t="s">
        <v>2780</v>
      </c>
      <c r="E730" t="s">
        <v>2823</v>
      </c>
      <c r="F730" t="str">
        <f>"269/668"</f>
        <v>269/668</v>
      </c>
      <c r="G730" t="s">
        <v>3261</v>
      </c>
      <c r="H730" t="s">
        <v>3966</v>
      </c>
      <c r="I730">
        <v>29.96</v>
      </c>
    </row>
    <row r="731" spans="1:9" ht="12.75">
      <c r="A731">
        <v>717</v>
      </c>
      <c r="B731" t="s">
        <v>3967</v>
      </c>
      <c r="C731" t="s">
        <v>43</v>
      </c>
      <c r="D731" t="s">
        <v>2780</v>
      </c>
      <c r="E731" t="s">
        <v>2823</v>
      </c>
      <c r="F731" t="str">
        <f>"270/668"</f>
        <v>270/668</v>
      </c>
      <c r="G731" t="s">
        <v>4978</v>
      </c>
      <c r="H731" t="s">
        <v>3968</v>
      </c>
      <c r="I731">
        <v>29.96</v>
      </c>
    </row>
    <row r="732" spans="1:9" ht="12.75">
      <c r="A732">
        <v>718</v>
      </c>
      <c r="B732" t="s">
        <v>5575</v>
      </c>
      <c r="C732" t="s">
        <v>2914</v>
      </c>
      <c r="D732" t="s">
        <v>2780</v>
      </c>
      <c r="E732" t="s">
        <v>2781</v>
      </c>
      <c r="F732" t="str">
        <f>"178/354"</f>
        <v>178/354</v>
      </c>
      <c r="G732" t="s">
        <v>5577</v>
      </c>
      <c r="H732" t="s">
        <v>3969</v>
      </c>
      <c r="I732">
        <v>29.96</v>
      </c>
    </row>
    <row r="733" spans="1:9" ht="12.75">
      <c r="A733">
        <v>719</v>
      </c>
      <c r="B733" t="s">
        <v>5631</v>
      </c>
      <c r="C733" t="s">
        <v>2861</v>
      </c>
      <c r="D733" t="s">
        <v>2780</v>
      </c>
      <c r="E733" t="s">
        <v>2781</v>
      </c>
      <c r="F733" t="str">
        <f>"179/354"</f>
        <v>179/354</v>
      </c>
      <c r="G733" t="s">
        <v>2880</v>
      </c>
      <c r="H733" t="s">
        <v>3970</v>
      </c>
      <c r="I733">
        <v>29.94</v>
      </c>
    </row>
    <row r="734" spans="1:9" ht="12.75">
      <c r="A734">
        <v>720</v>
      </c>
      <c r="B734" t="s">
        <v>3971</v>
      </c>
      <c r="C734" t="s">
        <v>54</v>
      </c>
      <c r="D734" t="s">
        <v>2780</v>
      </c>
      <c r="E734" t="s">
        <v>2781</v>
      </c>
      <c r="F734" t="str">
        <f>"180/354"</f>
        <v>180/354</v>
      </c>
      <c r="G734" t="s">
        <v>3289</v>
      </c>
      <c r="H734" t="s">
        <v>3972</v>
      </c>
      <c r="I734">
        <v>29.93</v>
      </c>
    </row>
    <row r="735" spans="1:9" ht="12.75">
      <c r="A735">
        <v>721</v>
      </c>
      <c r="B735" t="s">
        <v>823</v>
      </c>
      <c r="C735" t="s">
        <v>2966</v>
      </c>
      <c r="D735" t="s">
        <v>2780</v>
      </c>
      <c r="E735" t="s">
        <v>2823</v>
      </c>
      <c r="F735" t="str">
        <f>"271/668"</f>
        <v>271/668</v>
      </c>
      <c r="G735" t="s">
        <v>3973</v>
      </c>
      <c r="H735" t="s">
        <v>3974</v>
      </c>
      <c r="I735">
        <v>29.93</v>
      </c>
    </row>
    <row r="736" spans="1:9" ht="12.75">
      <c r="A736">
        <v>722</v>
      </c>
      <c r="B736" t="s">
        <v>3975</v>
      </c>
      <c r="C736" t="s">
        <v>2895</v>
      </c>
      <c r="D736" t="s">
        <v>2780</v>
      </c>
      <c r="E736" t="s">
        <v>2823</v>
      </c>
      <c r="F736" t="str">
        <f>"272/668"</f>
        <v>272/668</v>
      </c>
      <c r="G736" t="s">
        <v>3976</v>
      </c>
      <c r="H736" t="s">
        <v>3977</v>
      </c>
      <c r="I736">
        <v>29.93</v>
      </c>
    </row>
    <row r="737" spans="1:9" ht="12.75">
      <c r="A737">
        <v>723</v>
      </c>
      <c r="B737" t="s">
        <v>1148</v>
      </c>
      <c r="C737" t="s">
        <v>2868</v>
      </c>
      <c r="D737" t="s">
        <v>2780</v>
      </c>
      <c r="E737" t="s">
        <v>2823</v>
      </c>
      <c r="F737" t="str">
        <f>"273/668"</f>
        <v>273/668</v>
      </c>
      <c r="G737" t="s">
        <v>3018</v>
      </c>
      <c r="H737" t="s">
        <v>3978</v>
      </c>
      <c r="I737">
        <v>29.92</v>
      </c>
    </row>
    <row r="738" spans="1:9" ht="12.75">
      <c r="A738">
        <v>724</v>
      </c>
      <c r="B738" t="s">
        <v>3979</v>
      </c>
      <c r="C738" t="s">
        <v>3980</v>
      </c>
      <c r="D738" t="s">
        <v>2780</v>
      </c>
      <c r="E738" t="s">
        <v>2823</v>
      </c>
      <c r="F738" t="str">
        <f>"274/668"</f>
        <v>274/668</v>
      </c>
      <c r="G738" t="s">
        <v>3973</v>
      </c>
      <c r="H738" t="s">
        <v>3981</v>
      </c>
      <c r="I738">
        <v>29.92</v>
      </c>
    </row>
    <row r="739" spans="1:9" ht="12.75">
      <c r="A739">
        <v>725</v>
      </c>
      <c r="B739" t="s">
        <v>3982</v>
      </c>
      <c r="C739" t="s">
        <v>2861</v>
      </c>
      <c r="D739" t="s">
        <v>2780</v>
      </c>
      <c r="E739" t="s">
        <v>2823</v>
      </c>
      <c r="F739" t="str">
        <f>"275/668"</f>
        <v>275/668</v>
      </c>
      <c r="G739" t="s">
        <v>3261</v>
      </c>
      <c r="H739" t="s">
        <v>3983</v>
      </c>
      <c r="I739">
        <v>29.92</v>
      </c>
    </row>
    <row r="740" spans="1:9" ht="12.75">
      <c r="A740">
        <v>726</v>
      </c>
      <c r="B740" t="s">
        <v>3984</v>
      </c>
      <c r="C740" t="s">
        <v>2963</v>
      </c>
      <c r="D740" t="s">
        <v>2780</v>
      </c>
      <c r="E740" t="s">
        <v>2823</v>
      </c>
      <c r="F740" t="str">
        <f>"276/668"</f>
        <v>276/668</v>
      </c>
      <c r="G740" t="s">
        <v>3134</v>
      </c>
      <c r="H740" t="s">
        <v>3985</v>
      </c>
      <c r="I740">
        <v>29.92</v>
      </c>
    </row>
    <row r="741" spans="1:9" ht="12.75">
      <c r="A741">
        <v>727</v>
      </c>
      <c r="B741" t="s">
        <v>3986</v>
      </c>
      <c r="C741" t="s">
        <v>1160</v>
      </c>
      <c r="D741" t="s">
        <v>2780</v>
      </c>
      <c r="E741" t="s">
        <v>2973</v>
      </c>
      <c r="F741" t="str">
        <f>"27/147"</f>
        <v>27/147</v>
      </c>
      <c r="G741" t="s">
        <v>3206</v>
      </c>
      <c r="H741" t="s">
        <v>3987</v>
      </c>
      <c r="I741">
        <v>29.92</v>
      </c>
    </row>
    <row r="742" spans="1:9" ht="12.75">
      <c r="A742">
        <v>728</v>
      </c>
      <c r="B742" t="s">
        <v>3988</v>
      </c>
      <c r="C742" t="s">
        <v>3114</v>
      </c>
      <c r="D742" t="s">
        <v>2780</v>
      </c>
      <c r="E742" t="s">
        <v>2823</v>
      </c>
      <c r="F742" t="str">
        <f>"277/668"</f>
        <v>277/668</v>
      </c>
      <c r="G742" t="s">
        <v>3261</v>
      </c>
      <c r="H742" t="s">
        <v>3989</v>
      </c>
      <c r="I742">
        <v>29.92</v>
      </c>
    </row>
    <row r="743" spans="1:9" ht="12.75">
      <c r="A743">
        <v>729</v>
      </c>
      <c r="B743" t="s">
        <v>3990</v>
      </c>
      <c r="C743" t="s">
        <v>1966</v>
      </c>
      <c r="D743" t="s">
        <v>2780</v>
      </c>
      <c r="E743" t="s">
        <v>2823</v>
      </c>
      <c r="F743" t="str">
        <f>"278/668"</f>
        <v>278/668</v>
      </c>
      <c r="G743" t="s">
        <v>3991</v>
      </c>
      <c r="H743" t="s">
        <v>3992</v>
      </c>
      <c r="I743">
        <v>29.91</v>
      </c>
    </row>
    <row r="744" spans="1:9" ht="12.75">
      <c r="A744">
        <v>730</v>
      </c>
      <c r="B744" t="s">
        <v>5710</v>
      </c>
      <c r="C744" t="s">
        <v>54</v>
      </c>
      <c r="D744" t="s">
        <v>2780</v>
      </c>
      <c r="E744" t="s">
        <v>2823</v>
      </c>
      <c r="F744" t="str">
        <f>"279/668"</f>
        <v>279/668</v>
      </c>
      <c r="G744" t="s">
        <v>3261</v>
      </c>
      <c r="H744" t="s">
        <v>3993</v>
      </c>
      <c r="I744">
        <v>29.91</v>
      </c>
    </row>
    <row r="745" spans="1:9" ht="12.75">
      <c r="A745">
        <v>731</v>
      </c>
      <c r="B745" t="s">
        <v>3994</v>
      </c>
      <c r="C745" t="s">
        <v>3141</v>
      </c>
      <c r="D745" t="s">
        <v>2780</v>
      </c>
      <c r="E745" t="s">
        <v>2823</v>
      </c>
      <c r="F745" t="str">
        <f>"280/668"</f>
        <v>280/668</v>
      </c>
      <c r="G745" t="s">
        <v>3261</v>
      </c>
      <c r="H745" t="s">
        <v>3995</v>
      </c>
      <c r="I745">
        <v>29.91</v>
      </c>
    </row>
    <row r="746" spans="1:9" ht="12.75">
      <c r="A746">
        <v>732</v>
      </c>
      <c r="B746" t="s">
        <v>5231</v>
      </c>
      <c r="C746" t="s">
        <v>2817</v>
      </c>
      <c r="D746" t="s">
        <v>2780</v>
      </c>
      <c r="E746" t="s">
        <v>2973</v>
      </c>
      <c r="F746" t="str">
        <f>"28/147"</f>
        <v>28/147</v>
      </c>
      <c r="G746" t="s">
        <v>3261</v>
      </c>
      <c r="H746" t="s">
        <v>3996</v>
      </c>
      <c r="I746">
        <v>29.9</v>
      </c>
    </row>
    <row r="747" spans="1:9" ht="12.75">
      <c r="A747">
        <v>733</v>
      </c>
      <c r="B747" t="s">
        <v>3997</v>
      </c>
      <c r="C747" t="s">
        <v>3108</v>
      </c>
      <c r="D747" t="s">
        <v>2780</v>
      </c>
      <c r="E747" t="s">
        <v>2823</v>
      </c>
      <c r="F747" t="str">
        <f>"281/668"</f>
        <v>281/668</v>
      </c>
      <c r="G747" t="s">
        <v>1117</v>
      </c>
      <c r="H747" t="s">
        <v>3998</v>
      </c>
      <c r="I747">
        <v>29.9</v>
      </c>
    </row>
    <row r="748" spans="1:9" ht="12.75">
      <c r="A748">
        <v>734</v>
      </c>
      <c r="B748" t="s">
        <v>3999</v>
      </c>
      <c r="C748" t="s">
        <v>2916</v>
      </c>
      <c r="D748" t="s">
        <v>2780</v>
      </c>
      <c r="E748" t="s">
        <v>2781</v>
      </c>
      <c r="F748" t="str">
        <f>"181/354"</f>
        <v>181/354</v>
      </c>
      <c r="G748" t="s">
        <v>5279</v>
      </c>
      <c r="H748" t="s">
        <v>4000</v>
      </c>
      <c r="I748">
        <v>29.88</v>
      </c>
    </row>
    <row r="749" spans="1:9" ht="12.75">
      <c r="A749">
        <v>735</v>
      </c>
      <c r="B749" t="s">
        <v>3105</v>
      </c>
      <c r="C749" t="s">
        <v>2807</v>
      </c>
      <c r="D749" t="s">
        <v>2780</v>
      </c>
      <c r="E749" t="s">
        <v>2781</v>
      </c>
      <c r="F749" t="str">
        <f>"182/354"</f>
        <v>182/354</v>
      </c>
      <c r="G749" t="s">
        <v>5301</v>
      </c>
      <c r="H749" t="s">
        <v>4001</v>
      </c>
      <c r="I749">
        <v>29.88</v>
      </c>
    </row>
    <row r="750" spans="1:9" ht="12.75">
      <c r="A750">
        <v>736</v>
      </c>
      <c r="B750" t="s">
        <v>7727</v>
      </c>
      <c r="C750" t="s">
        <v>2817</v>
      </c>
      <c r="D750" t="s">
        <v>2780</v>
      </c>
      <c r="E750" t="s">
        <v>2973</v>
      </c>
      <c r="F750" t="str">
        <f>"29/147"</f>
        <v>29/147</v>
      </c>
      <c r="G750" t="s">
        <v>4002</v>
      </c>
      <c r="H750" t="s">
        <v>4003</v>
      </c>
      <c r="I750">
        <v>29.88</v>
      </c>
    </row>
    <row r="751" spans="1:9" ht="12.75">
      <c r="A751">
        <v>737</v>
      </c>
      <c r="B751" t="s">
        <v>4004</v>
      </c>
      <c r="C751" t="s">
        <v>3057</v>
      </c>
      <c r="D751" t="s">
        <v>2780</v>
      </c>
      <c r="E751" t="s">
        <v>2818</v>
      </c>
      <c r="F751" t="str">
        <f>"119/380"</f>
        <v>119/380</v>
      </c>
      <c r="G751" t="s">
        <v>3277</v>
      </c>
      <c r="H751" t="s">
        <v>4005</v>
      </c>
      <c r="I751">
        <v>29.87</v>
      </c>
    </row>
    <row r="752" spans="1:9" ht="12.75">
      <c r="A752">
        <v>738</v>
      </c>
      <c r="B752" t="s">
        <v>7800</v>
      </c>
      <c r="C752" t="s">
        <v>868</v>
      </c>
      <c r="D752" t="s">
        <v>2780</v>
      </c>
      <c r="E752" t="s">
        <v>2786</v>
      </c>
      <c r="F752" t="str">
        <f>"28/44"</f>
        <v>28/44</v>
      </c>
      <c r="G752" t="s">
        <v>4006</v>
      </c>
      <c r="H752" t="s">
        <v>4007</v>
      </c>
      <c r="I752">
        <v>29.87</v>
      </c>
    </row>
    <row r="753" spans="1:9" ht="12.75">
      <c r="A753">
        <v>739</v>
      </c>
      <c r="B753" t="s">
        <v>4008</v>
      </c>
      <c r="C753" t="s">
        <v>2826</v>
      </c>
      <c r="D753" t="s">
        <v>2780</v>
      </c>
      <c r="E753" t="s">
        <v>2799</v>
      </c>
      <c r="F753" t="str">
        <f>"57/100"</f>
        <v>57/100</v>
      </c>
      <c r="G753" t="s">
        <v>526</v>
      </c>
      <c r="H753" t="s">
        <v>4009</v>
      </c>
      <c r="I753">
        <v>29.86</v>
      </c>
    </row>
    <row r="754" spans="1:9" ht="12.75">
      <c r="A754">
        <v>740</v>
      </c>
      <c r="B754" t="s">
        <v>7148</v>
      </c>
      <c r="C754" t="s">
        <v>2826</v>
      </c>
      <c r="D754" t="s">
        <v>2780</v>
      </c>
      <c r="E754" t="s">
        <v>2781</v>
      </c>
      <c r="F754" t="str">
        <f>"183/354"</f>
        <v>183/354</v>
      </c>
      <c r="G754" t="s">
        <v>7207</v>
      </c>
      <c r="H754" t="s">
        <v>4010</v>
      </c>
      <c r="I754">
        <v>29.86</v>
      </c>
    </row>
    <row r="755" spans="1:9" ht="12.75">
      <c r="A755">
        <v>741</v>
      </c>
      <c r="B755" t="s">
        <v>3378</v>
      </c>
      <c r="C755" t="s">
        <v>2814</v>
      </c>
      <c r="D755" t="s">
        <v>2780</v>
      </c>
      <c r="E755" t="s">
        <v>2823</v>
      </c>
      <c r="F755" t="str">
        <f>"282/668"</f>
        <v>282/668</v>
      </c>
      <c r="G755" t="s">
        <v>5509</v>
      </c>
      <c r="H755" t="s">
        <v>4011</v>
      </c>
      <c r="I755">
        <v>29.85</v>
      </c>
    </row>
    <row r="756" spans="1:9" ht="12.75">
      <c r="A756">
        <v>742</v>
      </c>
      <c r="B756" t="s">
        <v>4012</v>
      </c>
      <c r="C756" t="s">
        <v>2814</v>
      </c>
      <c r="D756" t="s">
        <v>2780</v>
      </c>
      <c r="E756" t="s">
        <v>2823</v>
      </c>
      <c r="F756" t="str">
        <f>"283/668"</f>
        <v>283/668</v>
      </c>
      <c r="G756" t="s">
        <v>5509</v>
      </c>
      <c r="H756" t="s">
        <v>4011</v>
      </c>
      <c r="I756">
        <v>29.85</v>
      </c>
    </row>
    <row r="757" spans="1:9" ht="12.75">
      <c r="A757">
        <v>743</v>
      </c>
      <c r="B757" t="s">
        <v>14</v>
      </c>
      <c r="C757" t="s">
        <v>3406</v>
      </c>
      <c r="D757" t="s">
        <v>2780</v>
      </c>
      <c r="E757" t="s">
        <v>2781</v>
      </c>
      <c r="F757" t="str">
        <f>"184/354"</f>
        <v>184/354</v>
      </c>
      <c r="G757" t="s">
        <v>2243</v>
      </c>
      <c r="H757" t="s">
        <v>4013</v>
      </c>
      <c r="I757">
        <v>29.84</v>
      </c>
    </row>
    <row r="758" spans="1:9" ht="12.75">
      <c r="A758">
        <v>744</v>
      </c>
      <c r="B758" t="s">
        <v>4014</v>
      </c>
      <c r="C758" t="s">
        <v>2350</v>
      </c>
      <c r="D758" t="s">
        <v>2780</v>
      </c>
      <c r="E758" t="s">
        <v>2823</v>
      </c>
      <c r="F758" t="str">
        <f>"284/668"</f>
        <v>284/668</v>
      </c>
      <c r="G758" t="s">
        <v>57</v>
      </c>
      <c r="H758" t="s">
        <v>4015</v>
      </c>
      <c r="I758">
        <v>29.83</v>
      </c>
    </row>
    <row r="759" spans="1:9" ht="12.75">
      <c r="A759">
        <v>745</v>
      </c>
      <c r="B759" t="s">
        <v>4016</v>
      </c>
      <c r="C759" t="s">
        <v>2814</v>
      </c>
      <c r="D759" t="s">
        <v>2780</v>
      </c>
      <c r="E759" t="s">
        <v>2823</v>
      </c>
      <c r="F759" t="str">
        <f>"285/668"</f>
        <v>285/668</v>
      </c>
      <c r="G759" t="s">
        <v>3261</v>
      </c>
      <c r="H759" t="s">
        <v>4017</v>
      </c>
      <c r="I759">
        <v>29.83</v>
      </c>
    </row>
    <row r="760" spans="1:9" ht="12.75">
      <c r="A760">
        <v>746</v>
      </c>
      <c r="B760" t="s">
        <v>4018</v>
      </c>
      <c r="C760" t="s">
        <v>5379</v>
      </c>
      <c r="D760" t="s">
        <v>2780</v>
      </c>
      <c r="E760" t="s">
        <v>2818</v>
      </c>
      <c r="F760" t="str">
        <f>"120/380"</f>
        <v>120/380</v>
      </c>
      <c r="G760" t="s">
        <v>4954</v>
      </c>
      <c r="H760" t="s">
        <v>4019</v>
      </c>
      <c r="I760">
        <v>29.82</v>
      </c>
    </row>
    <row r="761" spans="1:9" ht="12.75">
      <c r="A761">
        <v>747</v>
      </c>
      <c r="B761" t="s">
        <v>4020</v>
      </c>
      <c r="C761" t="s">
        <v>2865</v>
      </c>
      <c r="D761" t="s">
        <v>2780</v>
      </c>
      <c r="E761" t="s">
        <v>2973</v>
      </c>
      <c r="F761" t="str">
        <f>"30/147"</f>
        <v>30/147</v>
      </c>
      <c r="G761" t="s">
        <v>57</v>
      </c>
      <c r="H761" t="s">
        <v>4021</v>
      </c>
      <c r="I761">
        <v>29.82</v>
      </c>
    </row>
    <row r="762" spans="1:9" ht="12.75">
      <c r="A762">
        <v>748</v>
      </c>
      <c r="B762" t="s">
        <v>4022</v>
      </c>
      <c r="C762" t="s">
        <v>3123</v>
      </c>
      <c r="D762" t="s">
        <v>2780</v>
      </c>
      <c r="E762" t="s">
        <v>2799</v>
      </c>
      <c r="F762" t="str">
        <f>"58/100"</f>
        <v>58/100</v>
      </c>
      <c r="G762" t="s">
        <v>4023</v>
      </c>
      <c r="H762" t="s">
        <v>4024</v>
      </c>
      <c r="I762">
        <v>29.82</v>
      </c>
    </row>
    <row r="763" spans="1:9" ht="12.75">
      <c r="A763">
        <v>749</v>
      </c>
      <c r="B763" t="s">
        <v>4025</v>
      </c>
      <c r="C763" t="s">
        <v>2814</v>
      </c>
      <c r="D763" t="s">
        <v>2780</v>
      </c>
      <c r="E763" t="s">
        <v>2799</v>
      </c>
      <c r="F763" t="str">
        <f>"59/100"</f>
        <v>59/100</v>
      </c>
      <c r="G763" t="s">
        <v>758</v>
      </c>
      <c r="H763" t="s">
        <v>4026</v>
      </c>
      <c r="I763">
        <v>29.82</v>
      </c>
    </row>
    <row r="764" spans="1:9" ht="12.75">
      <c r="A764">
        <v>750</v>
      </c>
      <c r="B764" t="s">
        <v>3120</v>
      </c>
      <c r="C764" t="s">
        <v>2895</v>
      </c>
      <c r="D764" t="s">
        <v>2780</v>
      </c>
      <c r="E764" t="s">
        <v>2781</v>
      </c>
      <c r="F764" t="str">
        <f>"185/354"</f>
        <v>185/354</v>
      </c>
      <c r="G764" t="s">
        <v>3555</v>
      </c>
      <c r="H764" t="s">
        <v>4027</v>
      </c>
      <c r="I764">
        <v>29.82</v>
      </c>
    </row>
    <row r="765" spans="1:9" ht="12.75">
      <c r="A765">
        <v>751</v>
      </c>
      <c r="B765" t="s">
        <v>4028</v>
      </c>
      <c r="C765" t="s">
        <v>2857</v>
      </c>
      <c r="D765" t="s">
        <v>2780</v>
      </c>
      <c r="E765" t="s">
        <v>2781</v>
      </c>
      <c r="F765" t="str">
        <f>"186/354"</f>
        <v>186/354</v>
      </c>
      <c r="G765" t="s">
        <v>4029</v>
      </c>
      <c r="H765" t="s">
        <v>4030</v>
      </c>
      <c r="I765">
        <v>29.82</v>
      </c>
    </row>
    <row r="766" spans="1:9" ht="12.75">
      <c r="A766">
        <v>752</v>
      </c>
      <c r="B766" t="s">
        <v>4031</v>
      </c>
      <c r="C766" t="s">
        <v>4032</v>
      </c>
      <c r="D766" t="s">
        <v>2780</v>
      </c>
      <c r="E766" t="s">
        <v>2823</v>
      </c>
      <c r="F766" t="str">
        <f>"286/668"</f>
        <v>286/668</v>
      </c>
      <c r="G766" t="s">
        <v>2804</v>
      </c>
      <c r="H766" t="s">
        <v>4033</v>
      </c>
      <c r="I766">
        <v>29.81</v>
      </c>
    </row>
    <row r="767" spans="1:9" ht="12.75">
      <c r="A767">
        <v>753</v>
      </c>
      <c r="B767" t="s">
        <v>4034</v>
      </c>
      <c r="C767" t="s">
        <v>4035</v>
      </c>
      <c r="D767" t="s">
        <v>2780</v>
      </c>
      <c r="E767" t="s">
        <v>2818</v>
      </c>
      <c r="F767" t="str">
        <f>"121/380"</f>
        <v>121/380</v>
      </c>
      <c r="G767" t="s">
        <v>3277</v>
      </c>
      <c r="H767" t="s">
        <v>4036</v>
      </c>
      <c r="I767">
        <v>29.81</v>
      </c>
    </row>
    <row r="768" spans="1:9" ht="12.75">
      <c r="A768">
        <v>754</v>
      </c>
      <c r="B768" t="s">
        <v>4037</v>
      </c>
      <c r="C768" t="s">
        <v>4038</v>
      </c>
      <c r="D768" t="s">
        <v>2780</v>
      </c>
      <c r="E768" t="s">
        <v>2823</v>
      </c>
      <c r="F768" t="str">
        <f>"287/668"</f>
        <v>287/668</v>
      </c>
      <c r="G768" t="s">
        <v>4039</v>
      </c>
      <c r="H768" t="s">
        <v>4040</v>
      </c>
      <c r="I768">
        <v>29.81</v>
      </c>
    </row>
    <row r="769" spans="1:9" ht="12.75">
      <c r="A769">
        <v>755</v>
      </c>
      <c r="B769" t="s">
        <v>4041</v>
      </c>
      <c r="C769" t="s">
        <v>5387</v>
      </c>
      <c r="D769" t="s">
        <v>2780</v>
      </c>
      <c r="E769" t="s">
        <v>2823</v>
      </c>
      <c r="F769" t="str">
        <f>"288/668"</f>
        <v>288/668</v>
      </c>
      <c r="G769" t="s">
        <v>3277</v>
      </c>
      <c r="H769" t="s">
        <v>4042</v>
      </c>
      <c r="I769">
        <v>29.81</v>
      </c>
    </row>
    <row r="770" spans="1:9" ht="12.75">
      <c r="A770">
        <v>756</v>
      </c>
      <c r="B770" t="s">
        <v>4043</v>
      </c>
      <c r="C770" t="s">
        <v>323</v>
      </c>
      <c r="D770" t="s">
        <v>2780</v>
      </c>
      <c r="E770" t="s">
        <v>2973</v>
      </c>
      <c r="F770" t="str">
        <f>"31/147"</f>
        <v>31/147</v>
      </c>
      <c r="G770" t="s">
        <v>4954</v>
      </c>
      <c r="H770" t="s">
        <v>4044</v>
      </c>
      <c r="I770">
        <v>29.8</v>
      </c>
    </row>
    <row r="771" spans="1:9" ht="12.75">
      <c r="A771">
        <v>757</v>
      </c>
      <c r="B771" t="s">
        <v>4045</v>
      </c>
      <c r="C771" t="s">
        <v>2865</v>
      </c>
      <c r="D771" t="s">
        <v>2780</v>
      </c>
      <c r="E771" t="s">
        <v>2823</v>
      </c>
      <c r="F771" t="str">
        <f>"289/668"</f>
        <v>289/668</v>
      </c>
      <c r="G771" t="s">
        <v>3261</v>
      </c>
      <c r="H771" t="s">
        <v>4046</v>
      </c>
      <c r="I771">
        <v>29.8</v>
      </c>
    </row>
    <row r="772" spans="1:9" ht="12.75">
      <c r="A772">
        <v>758</v>
      </c>
      <c r="B772" t="s">
        <v>4047</v>
      </c>
      <c r="C772" t="s">
        <v>84</v>
      </c>
      <c r="D772" t="s">
        <v>2780</v>
      </c>
      <c r="E772" t="s">
        <v>2973</v>
      </c>
      <c r="F772" t="str">
        <f>"32/147"</f>
        <v>32/147</v>
      </c>
      <c r="G772" t="s">
        <v>2920</v>
      </c>
      <c r="H772" t="s">
        <v>4048</v>
      </c>
      <c r="I772">
        <v>29.8</v>
      </c>
    </row>
    <row r="773" spans="1:9" ht="12.75">
      <c r="A773">
        <v>759</v>
      </c>
      <c r="B773" t="s">
        <v>4049</v>
      </c>
      <c r="C773" t="s">
        <v>2868</v>
      </c>
      <c r="D773" t="s">
        <v>2780</v>
      </c>
      <c r="E773" t="s">
        <v>2818</v>
      </c>
      <c r="F773" t="str">
        <f>"122/380"</f>
        <v>122/380</v>
      </c>
      <c r="G773" t="s">
        <v>3261</v>
      </c>
      <c r="H773" t="s">
        <v>4050</v>
      </c>
      <c r="I773">
        <v>29.79</v>
      </c>
    </row>
    <row r="774" spans="1:9" ht="12.75">
      <c r="A774">
        <v>760</v>
      </c>
      <c r="B774" t="s">
        <v>4051</v>
      </c>
      <c r="C774" t="s">
        <v>4052</v>
      </c>
      <c r="D774" t="s">
        <v>2780</v>
      </c>
      <c r="E774" t="s">
        <v>2781</v>
      </c>
      <c r="F774" t="str">
        <f>"187/354"</f>
        <v>187/354</v>
      </c>
      <c r="G774" t="s">
        <v>2917</v>
      </c>
      <c r="H774" t="s">
        <v>4053</v>
      </c>
      <c r="I774">
        <v>29.79</v>
      </c>
    </row>
    <row r="775" spans="1:9" ht="12.75">
      <c r="A775">
        <v>761</v>
      </c>
      <c r="B775" t="s">
        <v>3062</v>
      </c>
      <c r="C775" t="s">
        <v>2861</v>
      </c>
      <c r="D775" t="s">
        <v>2780</v>
      </c>
      <c r="E775" t="s">
        <v>2823</v>
      </c>
      <c r="F775" t="str">
        <f>"290/668"</f>
        <v>290/668</v>
      </c>
      <c r="G775" t="s">
        <v>3261</v>
      </c>
      <c r="H775" t="s">
        <v>4054</v>
      </c>
      <c r="I775">
        <v>29.79</v>
      </c>
    </row>
    <row r="776" spans="1:9" ht="12.75">
      <c r="A776">
        <v>762</v>
      </c>
      <c r="B776" t="s">
        <v>7602</v>
      </c>
      <c r="C776" t="s">
        <v>2840</v>
      </c>
      <c r="D776" t="s">
        <v>2780</v>
      </c>
      <c r="E776" t="s">
        <v>2823</v>
      </c>
      <c r="F776" t="str">
        <f>"291/668"</f>
        <v>291/668</v>
      </c>
      <c r="G776" t="s">
        <v>3261</v>
      </c>
      <c r="H776" t="s">
        <v>4055</v>
      </c>
      <c r="I776">
        <v>29.79</v>
      </c>
    </row>
    <row r="777" spans="1:9" ht="12.75">
      <c r="A777">
        <v>763</v>
      </c>
      <c r="B777" t="s">
        <v>2953</v>
      </c>
      <c r="C777" t="s">
        <v>615</v>
      </c>
      <c r="D777" t="s">
        <v>2780</v>
      </c>
      <c r="E777" t="s">
        <v>2818</v>
      </c>
      <c r="F777" t="str">
        <f>"123/380"</f>
        <v>123/380</v>
      </c>
      <c r="G777" t="s">
        <v>636</v>
      </c>
      <c r="H777" t="s">
        <v>4056</v>
      </c>
      <c r="I777">
        <v>29.78</v>
      </c>
    </row>
    <row r="778" spans="1:9" ht="12.75">
      <c r="A778">
        <v>764</v>
      </c>
      <c r="B778" t="s">
        <v>4057</v>
      </c>
      <c r="C778" t="s">
        <v>4058</v>
      </c>
      <c r="D778" t="s">
        <v>2780</v>
      </c>
      <c r="E778" t="s">
        <v>2973</v>
      </c>
      <c r="F778" t="str">
        <f>"33/147"</f>
        <v>33/147</v>
      </c>
      <c r="G778" t="s">
        <v>4059</v>
      </c>
      <c r="H778" t="s">
        <v>4056</v>
      </c>
      <c r="I778">
        <v>29.78</v>
      </c>
    </row>
    <row r="779" spans="1:9" ht="12.75">
      <c r="A779">
        <v>765</v>
      </c>
      <c r="B779" t="s">
        <v>4060</v>
      </c>
      <c r="C779" t="s">
        <v>2956</v>
      </c>
      <c r="D779" t="s">
        <v>2780</v>
      </c>
      <c r="E779" t="s">
        <v>2786</v>
      </c>
      <c r="F779" t="str">
        <f>"29/44"</f>
        <v>29/44</v>
      </c>
      <c r="G779" t="s">
        <v>4061</v>
      </c>
      <c r="H779" t="s">
        <v>4062</v>
      </c>
      <c r="I779">
        <v>29.78</v>
      </c>
    </row>
    <row r="780" spans="1:9" ht="12.75">
      <c r="A780">
        <v>766</v>
      </c>
      <c r="B780" t="s">
        <v>4063</v>
      </c>
      <c r="C780" t="s">
        <v>2857</v>
      </c>
      <c r="D780" t="s">
        <v>2780</v>
      </c>
      <c r="E780" t="s">
        <v>2781</v>
      </c>
      <c r="F780" t="str">
        <f>"188/354"</f>
        <v>188/354</v>
      </c>
      <c r="G780" t="s">
        <v>4891</v>
      </c>
      <c r="H780" t="s">
        <v>4064</v>
      </c>
      <c r="I780">
        <v>29.78</v>
      </c>
    </row>
    <row r="781" spans="1:9" ht="12.75">
      <c r="A781">
        <v>767</v>
      </c>
      <c r="B781" t="s">
        <v>4065</v>
      </c>
      <c r="C781" t="s">
        <v>2836</v>
      </c>
      <c r="D781" t="s">
        <v>2780</v>
      </c>
      <c r="E781" t="s">
        <v>2781</v>
      </c>
      <c r="F781" t="str">
        <f>"189/354"</f>
        <v>189/354</v>
      </c>
      <c r="G781" t="s">
        <v>4066</v>
      </c>
      <c r="H781" t="s">
        <v>4067</v>
      </c>
      <c r="I781">
        <v>29.78</v>
      </c>
    </row>
    <row r="782" spans="1:9" ht="12.75">
      <c r="A782">
        <v>768</v>
      </c>
      <c r="B782" t="s">
        <v>4068</v>
      </c>
      <c r="C782" t="s">
        <v>3464</v>
      </c>
      <c r="D782" t="s">
        <v>2780</v>
      </c>
      <c r="E782" t="s">
        <v>2823</v>
      </c>
      <c r="F782" t="str">
        <f>"292/668"</f>
        <v>292/668</v>
      </c>
      <c r="G782" t="s">
        <v>3976</v>
      </c>
      <c r="H782" t="s">
        <v>4069</v>
      </c>
      <c r="I782">
        <v>29.77</v>
      </c>
    </row>
    <row r="783" spans="1:9" ht="12.75">
      <c r="A783">
        <v>769</v>
      </c>
      <c r="B783" t="s">
        <v>4070</v>
      </c>
      <c r="C783" t="s">
        <v>54</v>
      </c>
      <c r="D783" t="s">
        <v>2780</v>
      </c>
      <c r="E783" t="s">
        <v>2823</v>
      </c>
      <c r="F783" t="str">
        <f>"293/668"</f>
        <v>293/668</v>
      </c>
      <c r="G783" t="s">
        <v>3261</v>
      </c>
      <c r="H783" t="s">
        <v>4069</v>
      </c>
      <c r="I783">
        <v>29.77</v>
      </c>
    </row>
    <row r="784" spans="1:9" ht="12.75">
      <c r="A784">
        <v>770</v>
      </c>
      <c r="B784" t="s">
        <v>4071</v>
      </c>
      <c r="C784" t="s">
        <v>1767</v>
      </c>
      <c r="D784" t="s">
        <v>2780</v>
      </c>
      <c r="E784" t="s">
        <v>2823</v>
      </c>
      <c r="F784" t="str">
        <f>"294/668"</f>
        <v>294/668</v>
      </c>
      <c r="G784" t="s">
        <v>553</v>
      </c>
      <c r="H784" t="s">
        <v>4072</v>
      </c>
      <c r="I784">
        <v>29.77</v>
      </c>
    </row>
    <row r="785" spans="1:9" ht="12.75">
      <c r="A785">
        <v>771</v>
      </c>
      <c r="B785" t="s">
        <v>7513</v>
      </c>
      <c r="C785" t="s">
        <v>3406</v>
      </c>
      <c r="D785" t="s">
        <v>2780</v>
      </c>
      <c r="E785" t="s">
        <v>2823</v>
      </c>
      <c r="F785" t="str">
        <f>"295/668"</f>
        <v>295/668</v>
      </c>
      <c r="G785" t="s">
        <v>5376</v>
      </c>
      <c r="H785" t="s">
        <v>4073</v>
      </c>
      <c r="I785">
        <v>29.77</v>
      </c>
    </row>
    <row r="786" spans="1:9" ht="12.75">
      <c r="A786">
        <v>772</v>
      </c>
      <c r="B786" t="s">
        <v>4074</v>
      </c>
      <c r="C786" t="s">
        <v>3417</v>
      </c>
      <c r="D786" t="s">
        <v>2780</v>
      </c>
      <c r="E786" t="s">
        <v>2823</v>
      </c>
      <c r="F786" t="str">
        <f>"296/668"</f>
        <v>296/668</v>
      </c>
      <c r="G786" t="s">
        <v>1843</v>
      </c>
      <c r="H786" t="s">
        <v>4075</v>
      </c>
      <c r="I786">
        <v>29.77</v>
      </c>
    </row>
    <row r="787" spans="1:9" ht="12.75">
      <c r="A787">
        <v>773</v>
      </c>
      <c r="B787" t="s">
        <v>5243</v>
      </c>
      <c r="C787" t="s">
        <v>2081</v>
      </c>
      <c r="D787" t="s">
        <v>2780</v>
      </c>
      <c r="E787" t="s">
        <v>2818</v>
      </c>
      <c r="F787" t="str">
        <f>"124/380"</f>
        <v>124/380</v>
      </c>
      <c r="G787" t="s">
        <v>4882</v>
      </c>
      <c r="H787" t="s">
        <v>4076</v>
      </c>
      <c r="I787">
        <v>29.76</v>
      </c>
    </row>
    <row r="788" spans="1:9" ht="12.75">
      <c r="A788">
        <v>774</v>
      </c>
      <c r="B788" t="s">
        <v>775</v>
      </c>
      <c r="C788" t="s">
        <v>2830</v>
      </c>
      <c r="D788" t="s">
        <v>2780</v>
      </c>
      <c r="E788" t="s">
        <v>2818</v>
      </c>
      <c r="F788" t="str">
        <f>"125/380"</f>
        <v>125/380</v>
      </c>
      <c r="G788" t="s">
        <v>5065</v>
      </c>
      <c r="H788" t="s">
        <v>4077</v>
      </c>
      <c r="I788">
        <v>29.75</v>
      </c>
    </row>
    <row r="789" spans="1:9" ht="12.75">
      <c r="A789">
        <v>775</v>
      </c>
      <c r="B789" t="s">
        <v>4078</v>
      </c>
      <c r="C789" t="s">
        <v>2895</v>
      </c>
      <c r="D789" t="s">
        <v>2780</v>
      </c>
      <c r="E789" t="s">
        <v>2781</v>
      </c>
      <c r="F789" t="str">
        <f>"190/354"</f>
        <v>190/354</v>
      </c>
      <c r="G789" t="s">
        <v>3535</v>
      </c>
      <c r="H789" t="s">
        <v>4079</v>
      </c>
      <c r="I789">
        <v>29.75</v>
      </c>
    </row>
    <row r="790" spans="1:9" ht="12.75">
      <c r="A790">
        <v>776</v>
      </c>
      <c r="B790" t="s">
        <v>4080</v>
      </c>
      <c r="C790" t="s">
        <v>2830</v>
      </c>
      <c r="D790" t="s">
        <v>2780</v>
      </c>
      <c r="E790" t="s">
        <v>2818</v>
      </c>
      <c r="F790" t="str">
        <f>"126/380"</f>
        <v>126/380</v>
      </c>
      <c r="G790" t="s">
        <v>3811</v>
      </c>
      <c r="H790" t="s">
        <v>4081</v>
      </c>
      <c r="I790">
        <v>29.75</v>
      </c>
    </row>
    <row r="791" spans="1:9" ht="12.75">
      <c r="A791">
        <v>777</v>
      </c>
      <c r="B791" t="s">
        <v>4082</v>
      </c>
      <c r="C791" t="s">
        <v>4083</v>
      </c>
      <c r="D791" t="s">
        <v>2780</v>
      </c>
      <c r="E791" t="s">
        <v>2823</v>
      </c>
      <c r="F791" t="str">
        <f>"297/668"</f>
        <v>297/668</v>
      </c>
      <c r="G791" t="s">
        <v>1780</v>
      </c>
      <c r="H791" t="s">
        <v>4084</v>
      </c>
      <c r="I791">
        <v>29.75</v>
      </c>
    </row>
    <row r="792" spans="1:9" ht="12.75">
      <c r="A792">
        <v>778</v>
      </c>
      <c r="B792" t="s">
        <v>4999</v>
      </c>
      <c r="C792" t="s">
        <v>2362</v>
      </c>
      <c r="D792" t="s">
        <v>2780</v>
      </c>
      <c r="E792" t="s">
        <v>2818</v>
      </c>
      <c r="F792" t="str">
        <f>"127/380"</f>
        <v>127/380</v>
      </c>
      <c r="G792" t="s">
        <v>3363</v>
      </c>
      <c r="H792" t="s">
        <v>4085</v>
      </c>
      <c r="I792">
        <v>29.74</v>
      </c>
    </row>
    <row r="793" spans="1:9" ht="12.75">
      <c r="A793">
        <v>779</v>
      </c>
      <c r="B793" t="s">
        <v>4086</v>
      </c>
      <c r="C793" t="s">
        <v>3560</v>
      </c>
      <c r="D793" t="s">
        <v>2780</v>
      </c>
      <c r="E793" t="s">
        <v>2818</v>
      </c>
      <c r="F793" t="str">
        <f>"128/380"</f>
        <v>128/380</v>
      </c>
      <c r="G793" t="s">
        <v>3261</v>
      </c>
      <c r="H793" t="s">
        <v>4087</v>
      </c>
      <c r="I793">
        <v>29.73</v>
      </c>
    </row>
    <row r="794" spans="1:9" ht="12.75">
      <c r="A794">
        <v>780</v>
      </c>
      <c r="B794" t="s">
        <v>4088</v>
      </c>
      <c r="C794" t="s">
        <v>2826</v>
      </c>
      <c r="D794" t="s">
        <v>2780</v>
      </c>
      <c r="E794" t="s">
        <v>2786</v>
      </c>
      <c r="F794" t="str">
        <f>"30/44"</f>
        <v>30/44</v>
      </c>
      <c r="G794" t="s">
        <v>7146</v>
      </c>
      <c r="H794" t="s">
        <v>4089</v>
      </c>
      <c r="I794">
        <v>29.73</v>
      </c>
    </row>
    <row r="795" spans="1:9" ht="12.75">
      <c r="A795">
        <v>781</v>
      </c>
      <c r="B795" t="s">
        <v>4090</v>
      </c>
      <c r="C795" t="s">
        <v>4894</v>
      </c>
      <c r="D795" t="s">
        <v>2780</v>
      </c>
      <c r="E795" t="s">
        <v>2781</v>
      </c>
      <c r="F795" t="str">
        <f>"191/354"</f>
        <v>191/354</v>
      </c>
      <c r="G795" t="s">
        <v>3060</v>
      </c>
      <c r="H795" t="s">
        <v>4091</v>
      </c>
      <c r="I795">
        <v>29.72</v>
      </c>
    </row>
    <row r="796" spans="1:9" ht="12.75">
      <c r="A796">
        <v>782</v>
      </c>
      <c r="B796" t="s">
        <v>4092</v>
      </c>
      <c r="C796" t="s">
        <v>3417</v>
      </c>
      <c r="D796" t="s">
        <v>2780</v>
      </c>
      <c r="E796" t="s">
        <v>2781</v>
      </c>
      <c r="F796" t="str">
        <f>"192/354"</f>
        <v>192/354</v>
      </c>
      <c r="G796" t="s">
        <v>1705</v>
      </c>
      <c r="H796" t="s">
        <v>4093</v>
      </c>
      <c r="I796">
        <v>29.72</v>
      </c>
    </row>
    <row r="797" spans="1:9" ht="12.75">
      <c r="A797">
        <v>783</v>
      </c>
      <c r="B797" t="s">
        <v>4094</v>
      </c>
      <c r="C797" t="s">
        <v>3337</v>
      </c>
      <c r="D797" t="s">
        <v>2780</v>
      </c>
      <c r="E797" t="s">
        <v>2781</v>
      </c>
      <c r="F797" t="str">
        <f>"193/354"</f>
        <v>193/354</v>
      </c>
      <c r="G797" t="s">
        <v>4095</v>
      </c>
      <c r="H797" t="s">
        <v>4096</v>
      </c>
      <c r="I797">
        <v>29.72</v>
      </c>
    </row>
    <row r="798" spans="1:9" ht="12.75">
      <c r="A798">
        <v>784</v>
      </c>
      <c r="B798" t="s">
        <v>3105</v>
      </c>
      <c r="C798" t="s">
        <v>3421</v>
      </c>
      <c r="D798" t="s">
        <v>2780</v>
      </c>
      <c r="E798" t="s">
        <v>2818</v>
      </c>
      <c r="F798" t="str">
        <f>"129/380"</f>
        <v>129/380</v>
      </c>
      <c r="G798" t="s">
        <v>1705</v>
      </c>
      <c r="H798" t="s">
        <v>4097</v>
      </c>
      <c r="I798">
        <v>29.71</v>
      </c>
    </row>
    <row r="799" spans="1:9" ht="12.75">
      <c r="A799">
        <v>785</v>
      </c>
      <c r="B799" t="s">
        <v>3285</v>
      </c>
      <c r="C799" t="s">
        <v>2840</v>
      </c>
      <c r="D799" t="s">
        <v>2780</v>
      </c>
      <c r="E799" t="s">
        <v>2823</v>
      </c>
      <c r="F799" t="str">
        <f>"298/668"</f>
        <v>298/668</v>
      </c>
      <c r="G799" t="s">
        <v>4098</v>
      </c>
      <c r="H799" t="s">
        <v>4099</v>
      </c>
      <c r="I799">
        <v>29.71</v>
      </c>
    </row>
    <row r="800" spans="1:9" ht="12.75">
      <c r="A800">
        <v>786</v>
      </c>
      <c r="B800" t="s">
        <v>4100</v>
      </c>
      <c r="C800" t="s">
        <v>3387</v>
      </c>
      <c r="D800" t="s">
        <v>2780</v>
      </c>
      <c r="E800" t="s">
        <v>2799</v>
      </c>
      <c r="F800" t="str">
        <f>"60/100"</f>
        <v>60/100</v>
      </c>
      <c r="G800" t="s">
        <v>3492</v>
      </c>
      <c r="H800" t="s">
        <v>4101</v>
      </c>
      <c r="I800">
        <v>29.71</v>
      </c>
    </row>
    <row r="801" spans="1:9" ht="12.75">
      <c r="A801">
        <v>787</v>
      </c>
      <c r="B801" t="s">
        <v>3743</v>
      </c>
      <c r="C801" t="s">
        <v>3625</v>
      </c>
      <c r="D801" t="s">
        <v>2780</v>
      </c>
      <c r="E801" t="s">
        <v>2973</v>
      </c>
      <c r="F801" t="str">
        <f>"34/147"</f>
        <v>34/147</v>
      </c>
      <c r="G801" t="s">
        <v>687</v>
      </c>
      <c r="H801" t="s">
        <v>4102</v>
      </c>
      <c r="I801">
        <v>29.71</v>
      </c>
    </row>
    <row r="802" spans="1:9" ht="12.75">
      <c r="A802">
        <v>788</v>
      </c>
      <c r="B802" t="s">
        <v>4103</v>
      </c>
      <c r="C802" t="s">
        <v>2779</v>
      </c>
      <c r="D802" t="s">
        <v>2780</v>
      </c>
      <c r="E802" t="s">
        <v>2823</v>
      </c>
      <c r="F802" t="str">
        <f>"299/668"</f>
        <v>299/668</v>
      </c>
      <c r="G802" t="s">
        <v>7445</v>
      </c>
      <c r="H802" t="s">
        <v>4104</v>
      </c>
      <c r="I802">
        <v>29.71</v>
      </c>
    </row>
    <row r="803" spans="1:9" ht="12.75">
      <c r="A803">
        <v>789</v>
      </c>
      <c r="B803" t="s">
        <v>4105</v>
      </c>
      <c r="C803" t="s">
        <v>54</v>
      </c>
      <c r="D803" t="s">
        <v>2780</v>
      </c>
      <c r="E803" t="s">
        <v>2818</v>
      </c>
      <c r="F803" t="str">
        <f>"130/380"</f>
        <v>130/380</v>
      </c>
      <c r="G803" t="s">
        <v>3436</v>
      </c>
      <c r="H803" t="s">
        <v>4106</v>
      </c>
      <c r="I803">
        <v>29.71</v>
      </c>
    </row>
    <row r="804" spans="1:9" ht="12.75">
      <c r="A804">
        <v>790</v>
      </c>
      <c r="B804" t="s">
        <v>3054</v>
      </c>
      <c r="C804" t="s">
        <v>3057</v>
      </c>
      <c r="D804" t="s">
        <v>2780</v>
      </c>
      <c r="E804" t="s">
        <v>2781</v>
      </c>
      <c r="F804" t="str">
        <f>"194/354"</f>
        <v>194/354</v>
      </c>
      <c r="G804" t="s">
        <v>3067</v>
      </c>
      <c r="H804" t="s">
        <v>4107</v>
      </c>
      <c r="I804">
        <v>29.7</v>
      </c>
    </row>
    <row r="805" spans="1:9" ht="12.75">
      <c r="A805">
        <v>791</v>
      </c>
      <c r="B805" t="s">
        <v>3146</v>
      </c>
      <c r="C805" t="s">
        <v>2323</v>
      </c>
      <c r="D805" t="s">
        <v>2780</v>
      </c>
      <c r="E805" t="s">
        <v>2818</v>
      </c>
      <c r="F805" t="str">
        <f>"131/380"</f>
        <v>131/380</v>
      </c>
      <c r="G805" t="s">
        <v>3067</v>
      </c>
      <c r="H805" t="s">
        <v>4108</v>
      </c>
      <c r="I805">
        <v>29.7</v>
      </c>
    </row>
    <row r="806" spans="1:9" ht="12.75">
      <c r="A806">
        <v>792</v>
      </c>
      <c r="B806" t="s">
        <v>4109</v>
      </c>
      <c r="C806" t="s">
        <v>2868</v>
      </c>
      <c r="D806" t="s">
        <v>2780</v>
      </c>
      <c r="E806" t="s">
        <v>2818</v>
      </c>
      <c r="F806" t="str">
        <f>"132/380"</f>
        <v>132/380</v>
      </c>
      <c r="G806" t="s">
        <v>758</v>
      </c>
      <c r="H806" t="s">
        <v>4110</v>
      </c>
      <c r="I806">
        <v>29.7</v>
      </c>
    </row>
    <row r="807" spans="1:9" ht="12.75">
      <c r="A807">
        <v>793</v>
      </c>
      <c r="B807" t="s">
        <v>4111</v>
      </c>
      <c r="C807" t="s">
        <v>2836</v>
      </c>
      <c r="D807" t="s">
        <v>2780</v>
      </c>
      <c r="E807" t="s">
        <v>2781</v>
      </c>
      <c r="F807" t="str">
        <f>"195/354"</f>
        <v>195/354</v>
      </c>
      <c r="G807" t="s">
        <v>7230</v>
      </c>
      <c r="H807" t="s">
        <v>4112</v>
      </c>
      <c r="I807">
        <v>29.7</v>
      </c>
    </row>
    <row r="808" spans="1:9" ht="12.75">
      <c r="A808">
        <v>794</v>
      </c>
      <c r="B808" t="s">
        <v>4113</v>
      </c>
      <c r="C808" t="s">
        <v>2585</v>
      </c>
      <c r="D808" t="s">
        <v>2780</v>
      </c>
      <c r="E808" t="s">
        <v>2818</v>
      </c>
      <c r="F808" t="str">
        <f>"133/380"</f>
        <v>133/380</v>
      </c>
      <c r="G808" t="s">
        <v>4098</v>
      </c>
      <c r="H808" t="s">
        <v>4114</v>
      </c>
      <c r="I808">
        <v>29.7</v>
      </c>
    </row>
    <row r="809" spans="1:9" ht="12.75">
      <c r="A809">
        <v>795</v>
      </c>
      <c r="B809" t="s">
        <v>4115</v>
      </c>
      <c r="C809" t="s">
        <v>43</v>
      </c>
      <c r="D809" t="s">
        <v>2780</v>
      </c>
      <c r="E809" t="s">
        <v>2823</v>
      </c>
      <c r="F809" t="str">
        <f>"300/668"</f>
        <v>300/668</v>
      </c>
      <c r="G809" t="s">
        <v>2994</v>
      </c>
      <c r="H809" t="s">
        <v>4116</v>
      </c>
      <c r="I809">
        <v>29.69</v>
      </c>
    </row>
    <row r="810" spans="1:9" ht="12.75">
      <c r="A810">
        <v>796</v>
      </c>
      <c r="B810" t="s">
        <v>4117</v>
      </c>
      <c r="C810" t="s">
        <v>2942</v>
      </c>
      <c r="D810" t="s">
        <v>2780</v>
      </c>
      <c r="E810" t="s">
        <v>2818</v>
      </c>
      <c r="F810" t="str">
        <f>"134/380"</f>
        <v>134/380</v>
      </c>
      <c r="G810" t="s">
        <v>3134</v>
      </c>
      <c r="H810" t="s">
        <v>4118</v>
      </c>
      <c r="I810">
        <v>29.69</v>
      </c>
    </row>
    <row r="811" spans="1:9" ht="12.75">
      <c r="A811">
        <v>797</v>
      </c>
      <c r="B811" t="s">
        <v>3955</v>
      </c>
      <c r="C811" t="s">
        <v>3286</v>
      </c>
      <c r="D811" t="s">
        <v>2780</v>
      </c>
      <c r="E811" t="s">
        <v>2823</v>
      </c>
      <c r="F811" t="str">
        <f>"301/668"</f>
        <v>301/668</v>
      </c>
      <c r="G811" t="s">
        <v>1570</v>
      </c>
      <c r="H811" t="s">
        <v>4119</v>
      </c>
      <c r="I811">
        <v>29.69</v>
      </c>
    </row>
    <row r="812" spans="1:9" ht="12.75">
      <c r="A812">
        <v>798</v>
      </c>
      <c r="B812" t="s">
        <v>4120</v>
      </c>
      <c r="C812" t="s">
        <v>7682</v>
      </c>
      <c r="D812" t="s">
        <v>2780</v>
      </c>
      <c r="E812" t="s">
        <v>2818</v>
      </c>
      <c r="F812" t="str">
        <f>"135/380"</f>
        <v>135/380</v>
      </c>
      <c r="G812" t="s">
        <v>3450</v>
      </c>
      <c r="H812" t="s">
        <v>4121</v>
      </c>
      <c r="I812">
        <v>29.68</v>
      </c>
    </row>
    <row r="813" spans="1:9" ht="12.75">
      <c r="A813">
        <v>799</v>
      </c>
      <c r="B813" t="s">
        <v>4122</v>
      </c>
      <c r="C813" t="s">
        <v>2857</v>
      </c>
      <c r="D813" t="s">
        <v>2780</v>
      </c>
      <c r="E813" t="s">
        <v>2781</v>
      </c>
      <c r="F813" t="str">
        <f>"196/354"</f>
        <v>196/354</v>
      </c>
      <c r="G813" t="s">
        <v>795</v>
      </c>
      <c r="H813" t="s">
        <v>4123</v>
      </c>
      <c r="I813">
        <v>29.68</v>
      </c>
    </row>
    <row r="814" spans="1:9" ht="12.75">
      <c r="A814">
        <v>800</v>
      </c>
      <c r="B814" t="s">
        <v>5125</v>
      </c>
      <c r="C814" t="s">
        <v>3346</v>
      </c>
      <c r="D814" t="s">
        <v>2780</v>
      </c>
      <c r="E814" t="s">
        <v>2781</v>
      </c>
      <c r="F814" t="str">
        <f>"197/354"</f>
        <v>197/354</v>
      </c>
      <c r="G814" t="s">
        <v>3134</v>
      </c>
      <c r="H814" t="s">
        <v>4124</v>
      </c>
      <c r="I814">
        <v>29.68</v>
      </c>
    </row>
    <row r="815" spans="1:9" ht="12.75">
      <c r="A815">
        <v>801</v>
      </c>
      <c r="B815" t="s">
        <v>562</v>
      </c>
      <c r="C815" t="s">
        <v>3045</v>
      </c>
      <c r="D815" t="s">
        <v>2780</v>
      </c>
      <c r="E815" t="s">
        <v>2823</v>
      </c>
      <c r="F815" t="str">
        <f>"302/668"</f>
        <v>302/668</v>
      </c>
      <c r="G815" t="s">
        <v>459</v>
      </c>
      <c r="H815" t="s">
        <v>4125</v>
      </c>
      <c r="I815">
        <v>29.68</v>
      </c>
    </row>
    <row r="816" spans="1:9" ht="12.75">
      <c r="A816">
        <v>802</v>
      </c>
      <c r="B816" t="s">
        <v>1159</v>
      </c>
      <c r="C816" t="s">
        <v>2886</v>
      </c>
      <c r="D816" t="s">
        <v>2780</v>
      </c>
      <c r="E816" t="s">
        <v>2781</v>
      </c>
      <c r="F816" t="str">
        <f>"198/354"</f>
        <v>198/354</v>
      </c>
      <c r="G816" t="s">
        <v>3067</v>
      </c>
      <c r="H816" t="s">
        <v>4126</v>
      </c>
      <c r="I816">
        <v>29.68</v>
      </c>
    </row>
    <row r="817" spans="1:9" ht="12.75">
      <c r="A817">
        <v>803</v>
      </c>
      <c r="B817" t="s">
        <v>4127</v>
      </c>
      <c r="C817" t="s">
        <v>2807</v>
      </c>
      <c r="D817" t="s">
        <v>2780</v>
      </c>
      <c r="E817" t="s">
        <v>2818</v>
      </c>
      <c r="F817" t="str">
        <f>"136/380"</f>
        <v>136/380</v>
      </c>
      <c r="G817" t="s">
        <v>3289</v>
      </c>
      <c r="H817" t="s">
        <v>4128</v>
      </c>
      <c r="I817">
        <v>29.67</v>
      </c>
    </row>
    <row r="818" spans="1:9" ht="12.75">
      <c r="A818">
        <v>804</v>
      </c>
      <c r="B818" t="s">
        <v>5637</v>
      </c>
      <c r="C818" t="s">
        <v>2963</v>
      </c>
      <c r="D818" t="s">
        <v>2780</v>
      </c>
      <c r="E818" t="s">
        <v>2781</v>
      </c>
      <c r="F818" t="str">
        <f>"199/354"</f>
        <v>199/354</v>
      </c>
      <c r="G818" t="s">
        <v>3289</v>
      </c>
      <c r="H818" t="s">
        <v>4129</v>
      </c>
      <c r="I818">
        <v>29.67</v>
      </c>
    </row>
    <row r="819" spans="1:9" ht="12.75">
      <c r="A819">
        <v>805</v>
      </c>
      <c r="B819" t="s">
        <v>5194</v>
      </c>
      <c r="C819" t="s">
        <v>2916</v>
      </c>
      <c r="D819" t="s">
        <v>2780</v>
      </c>
      <c r="E819" t="s">
        <v>2786</v>
      </c>
      <c r="F819" t="str">
        <f>"31/44"</f>
        <v>31/44</v>
      </c>
      <c r="G819" t="s">
        <v>2693</v>
      </c>
      <c r="H819" t="s">
        <v>4130</v>
      </c>
      <c r="I819">
        <v>29.67</v>
      </c>
    </row>
    <row r="820" spans="1:9" ht="12.75">
      <c r="A820">
        <v>806</v>
      </c>
      <c r="B820" t="s">
        <v>4131</v>
      </c>
      <c r="C820" t="s">
        <v>2963</v>
      </c>
      <c r="D820" t="s">
        <v>2780</v>
      </c>
      <c r="E820" t="s">
        <v>2781</v>
      </c>
      <c r="F820" t="str">
        <f>"200/354"</f>
        <v>200/354</v>
      </c>
      <c r="G820" t="s">
        <v>3289</v>
      </c>
      <c r="H820" t="s">
        <v>4132</v>
      </c>
      <c r="I820">
        <v>29.67</v>
      </c>
    </row>
    <row r="821" spans="1:9" ht="12.75">
      <c r="A821">
        <v>807</v>
      </c>
      <c r="B821" t="s">
        <v>4133</v>
      </c>
      <c r="C821" t="s">
        <v>4058</v>
      </c>
      <c r="D821" t="s">
        <v>2780</v>
      </c>
      <c r="E821" t="s">
        <v>2823</v>
      </c>
      <c r="F821" t="str">
        <f>"303/668"</f>
        <v>303/668</v>
      </c>
      <c r="G821" t="s">
        <v>314</v>
      </c>
      <c r="H821" t="s">
        <v>4134</v>
      </c>
      <c r="I821">
        <v>29.66</v>
      </c>
    </row>
    <row r="822" spans="1:9" ht="12.75">
      <c r="A822">
        <v>808</v>
      </c>
      <c r="B822" t="s">
        <v>4135</v>
      </c>
      <c r="C822" t="s">
        <v>335</v>
      </c>
      <c r="D822" t="s">
        <v>2780</v>
      </c>
      <c r="E822" t="s">
        <v>2823</v>
      </c>
      <c r="F822" t="str">
        <f>"304/668"</f>
        <v>304/668</v>
      </c>
      <c r="G822" t="s">
        <v>3217</v>
      </c>
      <c r="H822" t="s">
        <v>4136</v>
      </c>
      <c r="I822">
        <v>29.66</v>
      </c>
    </row>
    <row r="823" spans="1:9" ht="12.75">
      <c r="A823">
        <v>809</v>
      </c>
      <c r="B823" t="s">
        <v>3819</v>
      </c>
      <c r="C823" t="s">
        <v>2814</v>
      </c>
      <c r="D823" t="s">
        <v>2780</v>
      </c>
      <c r="E823" t="s">
        <v>2781</v>
      </c>
      <c r="F823" t="str">
        <f>"201/354"</f>
        <v>201/354</v>
      </c>
      <c r="G823" t="s">
        <v>3206</v>
      </c>
      <c r="H823" t="s">
        <v>4137</v>
      </c>
      <c r="I823">
        <v>29.65</v>
      </c>
    </row>
    <row r="824" spans="1:9" ht="12.75">
      <c r="A824">
        <v>810</v>
      </c>
      <c r="B824" t="s">
        <v>4138</v>
      </c>
      <c r="C824" t="s">
        <v>2840</v>
      </c>
      <c r="D824" t="s">
        <v>2780</v>
      </c>
      <c r="E824" t="s">
        <v>2823</v>
      </c>
      <c r="F824" t="str">
        <f>"305/668"</f>
        <v>305/668</v>
      </c>
      <c r="G824" t="s">
        <v>3656</v>
      </c>
      <c r="H824" t="s">
        <v>4139</v>
      </c>
      <c r="I824">
        <v>29.64</v>
      </c>
    </row>
    <row r="825" spans="1:9" ht="12.75">
      <c r="A825">
        <v>811</v>
      </c>
      <c r="B825" t="s">
        <v>535</v>
      </c>
      <c r="C825" t="s">
        <v>2861</v>
      </c>
      <c r="D825" t="s">
        <v>2780</v>
      </c>
      <c r="E825" t="s">
        <v>2818</v>
      </c>
      <c r="F825" t="str">
        <f>"137/380"</f>
        <v>137/380</v>
      </c>
      <c r="G825" t="s">
        <v>4140</v>
      </c>
      <c r="H825" t="s">
        <v>4141</v>
      </c>
      <c r="I825">
        <v>29.62</v>
      </c>
    </row>
    <row r="826" spans="1:9" ht="12.75">
      <c r="A826">
        <v>812</v>
      </c>
      <c r="B826" t="s">
        <v>4142</v>
      </c>
      <c r="C826" t="s">
        <v>4943</v>
      </c>
      <c r="D826" t="s">
        <v>2780</v>
      </c>
      <c r="E826" t="s">
        <v>2818</v>
      </c>
      <c r="F826" t="str">
        <f>"139/380"</f>
        <v>139/380</v>
      </c>
      <c r="G826" t="s">
        <v>4143</v>
      </c>
      <c r="H826" t="s">
        <v>4144</v>
      </c>
      <c r="I826">
        <v>29.6</v>
      </c>
    </row>
    <row r="827" spans="1:9" ht="12.75">
      <c r="A827">
        <v>813</v>
      </c>
      <c r="B827" t="s">
        <v>4145</v>
      </c>
      <c r="C827" t="s">
        <v>5653</v>
      </c>
      <c r="D827" t="s">
        <v>2780</v>
      </c>
      <c r="E827" t="s">
        <v>2818</v>
      </c>
      <c r="F827" t="str">
        <f>"138/380"</f>
        <v>138/380</v>
      </c>
      <c r="G827" t="s">
        <v>3134</v>
      </c>
      <c r="H827" t="s">
        <v>4144</v>
      </c>
      <c r="I827">
        <v>29.6</v>
      </c>
    </row>
    <row r="828" spans="1:9" ht="12.75">
      <c r="A828">
        <v>814</v>
      </c>
      <c r="B828" t="s">
        <v>4146</v>
      </c>
      <c r="C828" t="s">
        <v>3017</v>
      </c>
      <c r="D828" t="s">
        <v>2780</v>
      </c>
      <c r="E828" t="s">
        <v>2799</v>
      </c>
      <c r="F828" t="str">
        <f>"61/100"</f>
        <v>61/100</v>
      </c>
      <c r="G828" t="s">
        <v>4147</v>
      </c>
      <c r="H828" t="s">
        <v>4148</v>
      </c>
      <c r="I828">
        <v>29.6</v>
      </c>
    </row>
    <row r="829" spans="1:9" ht="12.75">
      <c r="A829">
        <v>815</v>
      </c>
      <c r="B829" t="s">
        <v>4149</v>
      </c>
      <c r="C829" t="s">
        <v>4150</v>
      </c>
      <c r="D829" t="s">
        <v>2780</v>
      </c>
      <c r="E829" t="s">
        <v>2823</v>
      </c>
      <c r="F829" t="str">
        <f>"306/668"</f>
        <v>306/668</v>
      </c>
      <c r="G829" t="s">
        <v>4151</v>
      </c>
      <c r="H829" t="s">
        <v>4152</v>
      </c>
      <c r="I829">
        <v>29.6</v>
      </c>
    </row>
    <row r="830" spans="1:9" ht="12.75">
      <c r="A830">
        <v>816</v>
      </c>
      <c r="B830" t="s">
        <v>4153</v>
      </c>
      <c r="C830" t="s">
        <v>3141</v>
      </c>
      <c r="D830" t="s">
        <v>2780</v>
      </c>
      <c r="E830" t="s">
        <v>2818</v>
      </c>
      <c r="F830" t="str">
        <f>"140/380"</f>
        <v>140/380</v>
      </c>
      <c r="G830" t="s">
        <v>2693</v>
      </c>
      <c r="H830" t="s">
        <v>4154</v>
      </c>
      <c r="I830">
        <v>29.57</v>
      </c>
    </row>
    <row r="831" spans="1:9" ht="12.75">
      <c r="A831">
        <v>817</v>
      </c>
      <c r="B831" t="s">
        <v>4155</v>
      </c>
      <c r="C831" t="s">
        <v>2966</v>
      </c>
      <c r="D831" t="s">
        <v>2780</v>
      </c>
      <c r="E831" t="s">
        <v>2823</v>
      </c>
      <c r="F831" t="str">
        <f>"307/668"</f>
        <v>307/668</v>
      </c>
      <c r="G831" t="s">
        <v>720</v>
      </c>
      <c r="H831" t="s">
        <v>4156</v>
      </c>
      <c r="I831">
        <v>29.55</v>
      </c>
    </row>
    <row r="832" spans="1:9" ht="12.75">
      <c r="A832">
        <v>818</v>
      </c>
      <c r="B832" t="s">
        <v>4157</v>
      </c>
      <c r="C832" t="s">
        <v>2810</v>
      </c>
      <c r="D832" t="s">
        <v>2780</v>
      </c>
      <c r="E832" t="s">
        <v>2799</v>
      </c>
      <c r="F832" t="str">
        <f>"62/100"</f>
        <v>62/100</v>
      </c>
      <c r="G832" t="s">
        <v>4954</v>
      </c>
      <c r="H832" t="s">
        <v>4158</v>
      </c>
      <c r="I832">
        <v>29.54</v>
      </c>
    </row>
    <row r="833" spans="1:9" ht="12.75">
      <c r="A833">
        <v>819</v>
      </c>
      <c r="B833" t="s">
        <v>4159</v>
      </c>
      <c r="C833" t="s">
        <v>2931</v>
      </c>
      <c r="D833" t="s">
        <v>2780</v>
      </c>
      <c r="E833" t="s">
        <v>2781</v>
      </c>
      <c r="F833" t="str">
        <f>"202/354"</f>
        <v>202/354</v>
      </c>
      <c r="G833" t="s">
        <v>2804</v>
      </c>
      <c r="H833" t="s">
        <v>4160</v>
      </c>
      <c r="I833">
        <v>29.53</v>
      </c>
    </row>
    <row r="834" spans="1:9" ht="12.75">
      <c r="A834">
        <v>820</v>
      </c>
      <c r="B834" t="s">
        <v>4161</v>
      </c>
      <c r="C834" t="s">
        <v>2861</v>
      </c>
      <c r="D834" t="s">
        <v>2780</v>
      </c>
      <c r="E834" t="s">
        <v>2823</v>
      </c>
      <c r="F834" t="str">
        <f>"308/668"</f>
        <v>308/668</v>
      </c>
      <c r="G834" t="s">
        <v>4162</v>
      </c>
      <c r="H834" t="s">
        <v>4163</v>
      </c>
      <c r="I834">
        <v>29.53</v>
      </c>
    </row>
    <row r="835" spans="1:9" ht="12.75">
      <c r="A835">
        <v>821</v>
      </c>
      <c r="B835" t="s">
        <v>3378</v>
      </c>
      <c r="C835" t="s">
        <v>3633</v>
      </c>
      <c r="D835" t="s">
        <v>2780</v>
      </c>
      <c r="E835" t="s">
        <v>2823</v>
      </c>
      <c r="F835" t="str">
        <f>"309/668"</f>
        <v>309/668</v>
      </c>
      <c r="G835" t="s">
        <v>2974</v>
      </c>
      <c r="H835" t="s">
        <v>4164</v>
      </c>
      <c r="I835">
        <v>29.52</v>
      </c>
    </row>
    <row r="836" spans="1:9" ht="12.75">
      <c r="A836">
        <v>822</v>
      </c>
      <c r="B836" t="s">
        <v>4165</v>
      </c>
      <c r="C836" t="s">
        <v>265</v>
      </c>
      <c r="D836" t="s">
        <v>2780</v>
      </c>
      <c r="E836" t="s">
        <v>2818</v>
      </c>
      <c r="F836" t="str">
        <f>"141/380"</f>
        <v>141/380</v>
      </c>
      <c r="G836" t="s">
        <v>3656</v>
      </c>
      <c r="H836" t="s">
        <v>4166</v>
      </c>
      <c r="I836">
        <v>29.52</v>
      </c>
    </row>
    <row r="837" spans="1:9" ht="12.75">
      <c r="A837">
        <v>823</v>
      </c>
      <c r="B837" t="s">
        <v>4167</v>
      </c>
      <c r="C837" t="s">
        <v>2513</v>
      </c>
      <c r="D837" t="s">
        <v>3031</v>
      </c>
      <c r="E837" t="s">
        <v>3244</v>
      </c>
      <c r="F837" t="str">
        <f>"13/40"</f>
        <v>13/40</v>
      </c>
      <c r="G837" t="s">
        <v>4882</v>
      </c>
      <c r="H837" t="s">
        <v>4168</v>
      </c>
      <c r="I837">
        <v>29.51</v>
      </c>
    </row>
    <row r="838" spans="1:9" ht="12.75">
      <c r="A838">
        <v>824</v>
      </c>
      <c r="B838" t="s">
        <v>4169</v>
      </c>
      <c r="C838" t="s">
        <v>3346</v>
      </c>
      <c r="D838" t="s">
        <v>2780</v>
      </c>
      <c r="E838" t="s">
        <v>2973</v>
      </c>
      <c r="F838" t="str">
        <f>"35/147"</f>
        <v>35/147</v>
      </c>
      <c r="G838" t="s">
        <v>4170</v>
      </c>
      <c r="H838" t="s">
        <v>4171</v>
      </c>
      <c r="I838">
        <v>29.51</v>
      </c>
    </row>
    <row r="839" spans="1:9" ht="12.75">
      <c r="A839">
        <v>825</v>
      </c>
      <c r="B839" t="s">
        <v>7400</v>
      </c>
      <c r="C839" t="s">
        <v>5382</v>
      </c>
      <c r="D839" t="s">
        <v>2780</v>
      </c>
      <c r="E839" t="s">
        <v>2818</v>
      </c>
      <c r="F839" t="str">
        <f>"142/380"</f>
        <v>142/380</v>
      </c>
      <c r="G839" t="s">
        <v>2889</v>
      </c>
      <c r="H839" t="s">
        <v>4172</v>
      </c>
      <c r="I839">
        <v>29.51</v>
      </c>
    </row>
    <row r="840" spans="1:9" ht="12.75">
      <c r="A840">
        <v>826</v>
      </c>
      <c r="B840" t="s">
        <v>4173</v>
      </c>
      <c r="C840" t="s">
        <v>3421</v>
      </c>
      <c r="D840" t="s">
        <v>2780</v>
      </c>
      <c r="E840" t="s">
        <v>2818</v>
      </c>
      <c r="F840" t="str">
        <f>"143/380"</f>
        <v>143/380</v>
      </c>
      <c r="G840" t="s">
        <v>4174</v>
      </c>
      <c r="H840" t="s">
        <v>4175</v>
      </c>
      <c r="I840">
        <v>29.5</v>
      </c>
    </row>
    <row r="841" spans="1:9" ht="12.75">
      <c r="A841">
        <v>827</v>
      </c>
      <c r="B841" t="s">
        <v>4176</v>
      </c>
      <c r="C841" t="s">
        <v>2931</v>
      </c>
      <c r="D841" t="s">
        <v>2780</v>
      </c>
      <c r="E841" t="s">
        <v>2823</v>
      </c>
      <c r="F841" t="str">
        <f>"310/668"</f>
        <v>310/668</v>
      </c>
      <c r="G841" t="s">
        <v>4177</v>
      </c>
      <c r="H841" t="s">
        <v>4178</v>
      </c>
      <c r="I841">
        <v>29.5</v>
      </c>
    </row>
    <row r="842" spans="1:9" ht="12.75">
      <c r="A842">
        <v>828</v>
      </c>
      <c r="B842" t="s">
        <v>3930</v>
      </c>
      <c r="C842" t="s">
        <v>2861</v>
      </c>
      <c r="D842" t="s">
        <v>2780</v>
      </c>
      <c r="E842" t="s">
        <v>2818</v>
      </c>
      <c r="F842" t="str">
        <f>"144/380"</f>
        <v>144/380</v>
      </c>
      <c r="G842" t="s">
        <v>3555</v>
      </c>
      <c r="H842" t="s">
        <v>4179</v>
      </c>
      <c r="I842">
        <v>29.49</v>
      </c>
    </row>
    <row r="843" spans="1:9" ht="12.75">
      <c r="A843">
        <v>829</v>
      </c>
      <c r="B843" t="s">
        <v>2429</v>
      </c>
      <c r="C843" t="s">
        <v>43</v>
      </c>
      <c r="D843" t="s">
        <v>2780</v>
      </c>
      <c r="E843" t="s">
        <v>2823</v>
      </c>
      <c r="F843" t="str">
        <f>"312/668"</f>
        <v>312/668</v>
      </c>
      <c r="G843" t="s">
        <v>5444</v>
      </c>
      <c r="H843" t="s">
        <v>4180</v>
      </c>
      <c r="I843">
        <v>29.49</v>
      </c>
    </row>
    <row r="844" spans="1:9" ht="12.75">
      <c r="A844">
        <v>830</v>
      </c>
      <c r="B844" t="s">
        <v>2286</v>
      </c>
      <c r="C844" t="s">
        <v>3542</v>
      </c>
      <c r="D844" t="s">
        <v>2780</v>
      </c>
      <c r="E844" t="s">
        <v>2823</v>
      </c>
      <c r="F844" t="str">
        <f>"311/668"</f>
        <v>311/668</v>
      </c>
      <c r="G844" t="s">
        <v>3261</v>
      </c>
      <c r="H844" t="s">
        <v>4180</v>
      </c>
      <c r="I844">
        <v>29.49</v>
      </c>
    </row>
    <row r="845" spans="1:9" ht="12.75">
      <c r="A845">
        <v>831</v>
      </c>
      <c r="B845" t="s">
        <v>4181</v>
      </c>
      <c r="C845" t="s">
        <v>2861</v>
      </c>
      <c r="D845" t="s">
        <v>2780</v>
      </c>
      <c r="E845" t="s">
        <v>2823</v>
      </c>
      <c r="F845" t="str">
        <f>"313/668"</f>
        <v>313/668</v>
      </c>
      <c r="G845" t="s">
        <v>5163</v>
      </c>
      <c r="H845" t="s">
        <v>4182</v>
      </c>
      <c r="I845">
        <v>29.49</v>
      </c>
    </row>
    <row r="846" spans="1:9" ht="12.75">
      <c r="A846">
        <v>832</v>
      </c>
      <c r="B846" t="s">
        <v>4183</v>
      </c>
      <c r="C846" t="s">
        <v>109</v>
      </c>
      <c r="D846" t="s">
        <v>2780</v>
      </c>
      <c r="E846" t="s">
        <v>2823</v>
      </c>
      <c r="F846" t="str">
        <f>"314/668"</f>
        <v>314/668</v>
      </c>
      <c r="G846" t="s">
        <v>59</v>
      </c>
      <c r="H846" t="s">
        <v>4184</v>
      </c>
      <c r="I846">
        <v>29.48</v>
      </c>
    </row>
    <row r="847" spans="1:9" ht="12.75">
      <c r="A847">
        <v>833</v>
      </c>
      <c r="B847" t="s">
        <v>4185</v>
      </c>
      <c r="C847" t="s">
        <v>2362</v>
      </c>
      <c r="D847" t="s">
        <v>2780</v>
      </c>
      <c r="E847" t="s">
        <v>2973</v>
      </c>
      <c r="F847" t="str">
        <f>"36/147"</f>
        <v>36/147</v>
      </c>
      <c r="G847" t="s">
        <v>7192</v>
      </c>
      <c r="H847" t="s">
        <v>4186</v>
      </c>
      <c r="I847">
        <v>29.46</v>
      </c>
    </row>
    <row r="848" spans="1:9" ht="12.75">
      <c r="A848">
        <v>834</v>
      </c>
      <c r="B848" t="s">
        <v>4187</v>
      </c>
      <c r="C848" t="s">
        <v>2966</v>
      </c>
      <c r="D848" t="s">
        <v>2780</v>
      </c>
      <c r="E848" t="s">
        <v>2823</v>
      </c>
      <c r="F848" t="str">
        <f>"315/668"</f>
        <v>315/668</v>
      </c>
      <c r="G848" t="s">
        <v>5549</v>
      </c>
      <c r="H848" t="s">
        <v>4188</v>
      </c>
      <c r="I848">
        <v>29.46</v>
      </c>
    </row>
    <row r="849" spans="1:9" ht="12.75">
      <c r="A849">
        <v>835</v>
      </c>
      <c r="B849" t="s">
        <v>4031</v>
      </c>
      <c r="C849" t="s">
        <v>3008</v>
      </c>
      <c r="D849" t="s">
        <v>2780</v>
      </c>
      <c r="E849" t="s">
        <v>2823</v>
      </c>
      <c r="F849" t="str">
        <f>"316/668"</f>
        <v>316/668</v>
      </c>
      <c r="G849" t="s">
        <v>2693</v>
      </c>
      <c r="H849" t="s">
        <v>4189</v>
      </c>
      <c r="I849">
        <v>29.45</v>
      </c>
    </row>
    <row r="850" spans="1:9" ht="12.75">
      <c r="A850">
        <v>836</v>
      </c>
      <c r="B850" t="s">
        <v>4190</v>
      </c>
      <c r="C850" t="s">
        <v>2865</v>
      </c>
      <c r="D850" t="s">
        <v>2780</v>
      </c>
      <c r="E850" t="s">
        <v>2823</v>
      </c>
      <c r="F850" t="str">
        <f>"317/668"</f>
        <v>317/668</v>
      </c>
      <c r="G850" t="s">
        <v>377</v>
      </c>
      <c r="H850" t="s">
        <v>4191</v>
      </c>
      <c r="I850">
        <v>29.44</v>
      </c>
    </row>
    <row r="851" spans="1:9" ht="12.75">
      <c r="A851">
        <v>837</v>
      </c>
      <c r="B851" t="s">
        <v>4192</v>
      </c>
      <c r="C851" t="s">
        <v>504</v>
      </c>
      <c r="D851" t="s">
        <v>2780</v>
      </c>
      <c r="E851" t="s">
        <v>2818</v>
      </c>
      <c r="F851" t="str">
        <f>"145/380"</f>
        <v>145/380</v>
      </c>
      <c r="G851" t="s">
        <v>4193</v>
      </c>
      <c r="H851" t="s">
        <v>4194</v>
      </c>
      <c r="I851">
        <v>29.44</v>
      </c>
    </row>
    <row r="852" spans="1:9" ht="12.75">
      <c r="A852">
        <v>838</v>
      </c>
      <c r="B852" t="s">
        <v>4195</v>
      </c>
      <c r="C852" t="s">
        <v>2840</v>
      </c>
      <c r="D852" t="s">
        <v>2780</v>
      </c>
      <c r="E852" t="s">
        <v>2818</v>
      </c>
      <c r="F852" t="str">
        <f>"146/380"</f>
        <v>146/380</v>
      </c>
      <c r="G852" t="s">
        <v>1679</v>
      </c>
      <c r="H852" t="s">
        <v>4196</v>
      </c>
      <c r="I852">
        <v>29.44</v>
      </c>
    </row>
    <row r="853" spans="1:9" ht="12.75">
      <c r="A853">
        <v>839</v>
      </c>
      <c r="B853" t="s">
        <v>654</v>
      </c>
      <c r="C853" t="s">
        <v>2807</v>
      </c>
      <c r="D853" t="s">
        <v>2780</v>
      </c>
      <c r="E853" t="s">
        <v>2781</v>
      </c>
      <c r="F853" t="str">
        <f>"203/354"</f>
        <v>203/354</v>
      </c>
      <c r="G853" t="s">
        <v>3011</v>
      </c>
      <c r="H853" t="s">
        <v>4197</v>
      </c>
      <c r="I853">
        <v>29.43</v>
      </c>
    </row>
    <row r="854" spans="1:9" ht="12.75">
      <c r="A854">
        <v>840</v>
      </c>
      <c r="B854" t="s">
        <v>4198</v>
      </c>
      <c r="C854" t="s">
        <v>2942</v>
      </c>
      <c r="D854" t="s">
        <v>2780</v>
      </c>
      <c r="E854" t="s">
        <v>2973</v>
      </c>
      <c r="F854" t="str">
        <f>"37/147"</f>
        <v>37/147</v>
      </c>
      <c r="G854" t="s">
        <v>4199</v>
      </c>
      <c r="H854" t="s">
        <v>4200</v>
      </c>
      <c r="I854">
        <v>29.43</v>
      </c>
    </row>
    <row r="855" spans="1:9" ht="12.75">
      <c r="A855">
        <v>841</v>
      </c>
      <c r="B855" t="s">
        <v>1804</v>
      </c>
      <c r="C855" t="s">
        <v>3123</v>
      </c>
      <c r="D855" t="s">
        <v>2780</v>
      </c>
      <c r="E855" t="s">
        <v>2823</v>
      </c>
      <c r="F855" t="str">
        <f>"318/668"</f>
        <v>318/668</v>
      </c>
      <c r="G855" t="s">
        <v>795</v>
      </c>
      <c r="H855" t="s">
        <v>4201</v>
      </c>
      <c r="I855">
        <v>29.41</v>
      </c>
    </row>
    <row r="856" spans="1:9" ht="12.75">
      <c r="A856">
        <v>842</v>
      </c>
      <c r="B856" t="s">
        <v>4202</v>
      </c>
      <c r="C856" t="s">
        <v>4203</v>
      </c>
      <c r="D856" t="s">
        <v>2780</v>
      </c>
      <c r="E856" t="s">
        <v>2818</v>
      </c>
      <c r="F856" t="str">
        <f>"147/380"</f>
        <v>147/380</v>
      </c>
      <c r="G856" t="s">
        <v>4204</v>
      </c>
      <c r="H856" t="s">
        <v>4205</v>
      </c>
      <c r="I856">
        <v>29.4</v>
      </c>
    </row>
    <row r="857" spans="1:9" ht="12.75">
      <c r="A857">
        <v>843</v>
      </c>
      <c r="B857" t="s">
        <v>5023</v>
      </c>
      <c r="C857" t="s">
        <v>4206</v>
      </c>
      <c r="D857" t="s">
        <v>2780</v>
      </c>
      <c r="E857" t="s">
        <v>2823</v>
      </c>
      <c r="F857" t="str">
        <f>"319/668"</f>
        <v>319/668</v>
      </c>
      <c r="G857" t="s">
        <v>2858</v>
      </c>
      <c r="H857" t="s">
        <v>4207</v>
      </c>
      <c r="I857">
        <v>29.37</v>
      </c>
    </row>
    <row r="858" spans="1:9" ht="12.75">
      <c r="A858">
        <v>844</v>
      </c>
      <c r="B858" t="s">
        <v>4208</v>
      </c>
      <c r="C858" t="s">
        <v>2836</v>
      </c>
      <c r="D858" t="s">
        <v>2780</v>
      </c>
      <c r="E858" t="s">
        <v>2823</v>
      </c>
      <c r="F858" t="str">
        <f>"320/668"</f>
        <v>320/668</v>
      </c>
      <c r="G858" t="s">
        <v>5549</v>
      </c>
      <c r="H858" t="s">
        <v>4209</v>
      </c>
      <c r="I858">
        <v>29.37</v>
      </c>
    </row>
    <row r="859" spans="1:9" ht="12.75">
      <c r="A859">
        <v>845</v>
      </c>
      <c r="B859" t="s">
        <v>4210</v>
      </c>
      <c r="C859" t="s">
        <v>2836</v>
      </c>
      <c r="D859" t="s">
        <v>2780</v>
      </c>
      <c r="E859" t="s">
        <v>2823</v>
      </c>
      <c r="F859" t="str">
        <f>"321/668"</f>
        <v>321/668</v>
      </c>
      <c r="G859" t="s">
        <v>7576</v>
      </c>
      <c r="H859" t="s">
        <v>4211</v>
      </c>
      <c r="I859">
        <v>29.34</v>
      </c>
    </row>
    <row r="860" spans="1:9" ht="12.75">
      <c r="A860">
        <v>846</v>
      </c>
      <c r="B860" t="s">
        <v>4212</v>
      </c>
      <c r="C860" t="s">
        <v>2865</v>
      </c>
      <c r="D860" t="s">
        <v>2780</v>
      </c>
      <c r="E860" t="s">
        <v>2818</v>
      </c>
      <c r="F860" t="str">
        <f>"148/380"</f>
        <v>148/380</v>
      </c>
      <c r="G860" t="s">
        <v>7225</v>
      </c>
      <c r="H860" t="s">
        <v>4213</v>
      </c>
      <c r="I860">
        <v>29.33</v>
      </c>
    </row>
    <row r="861" spans="1:9" ht="12.75">
      <c r="A861">
        <v>847</v>
      </c>
      <c r="B861" t="s">
        <v>3575</v>
      </c>
      <c r="C861" t="s">
        <v>2857</v>
      </c>
      <c r="D861" t="s">
        <v>2780</v>
      </c>
      <c r="E861" t="s">
        <v>2823</v>
      </c>
      <c r="F861" t="str">
        <f>"322/668"</f>
        <v>322/668</v>
      </c>
      <c r="G861" t="s">
        <v>2889</v>
      </c>
      <c r="H861" t="s">
        <v>4214</v>
      </c>
      <c r="I861">
        <v>29.33</v>
      </c>
    </row>
    <row r="862" spans="1:9" ht="12.75">
      <c r="A862">
        <v>848</v>
      </c>
      <c r="B862" t="s">
        <v>4215</v>
      </c>
      <c r="C862" t="s">
        <v>504</v>
      </c>
      <c r="D862" t="s">
        <v>2780</v>
      </c>
      <c r="E862" t="s">
        <v>2818</v>
      </c>
      <c r="F862" t="str">
        <f>"149/380"</f>
        <v>149/380</v>
      </c>
      <c r="G862" t="s">
        <v>5037</v>
      </c>
      <c r="H862" t="s">
        <v>4216</v>
      </c>
      <c r="I862">
        <v>29.32</v>
      </c>
    </row>
    <row r="863" spans="1:9" ht="12.75">
      <c r="A863">
        <v>849</v>
      </c>
      <c r="B863" t="s">
        <v>7385</v>
      </c>
      <c r="C863" t="s">
        <v>3417</v>
      </c>
      <c r="D863" t="s">
        <v>2780</v>
      </c>
      <c r="E863" t="s">
        <v>2781</v>
      </c>
      <c r="F863" t="str">
        <f>"204/354"</f>
        <v>204/354</v>
      </c>
      <c r="G863" t="s">
        <v>3692</v>
      </c>
      <c r="H863" t="s">
        <v>4217</v>
      </c>
      <c r="I863">
        <v>29.32</v>
      </c>
    </row>
    <row r="864" spans="1:9" ht="12.75">
      <c r="A864">
        <v>850</v>
      </c>
      <c r="B864" t="s">
        <v>4218</v>
      </c>
      <c r="C864" t="s">
        <v>353</v>
      </c>
      <c r="D864" t="s">
        <v>2780</v>
      </c>
      <c r="E864" t="s">
        <v>2781</v>
      </c>
      <c r="F864" t="str">
        <f>"205/354"</f>
        <v>205/354</v>
      </c>
      <c r="G864" t="s">
        <v>3692</v>
      </c>
      <c r="H864" t="s">
        <v>4219</v>
      </c>
      <c r="I864">
        <v>29.31</v>
      </c>
    </row>
    <row r="865" spans="1:9" ht="12.75">
      <c r="A865">
        <v>851</v>
      </c>
      <c r="B865" t="s">
        <v>4220</v>
      </c>
      <c r="C865" t="s">
        <v>2966</v>
      </c>
      <c r="D865" t="s">
        <v>2780</v>
      </c>
      <c r="E865" t="s">
        <v>2823</v>
      </c>
      <c r="F865" t="str">
        <f>"323/668"</f>
        <v>323/668</v>
      </c>
      <c r="G865" t="s">
        <v>4221</v>
      </c>
      <c r="H865" t="s">
        <v>4222</v>
      </c>
      <c r="I865">
        <v>29.29</v>
      </c>
    </row>
    <row r="866" spans="1:9" ht="12.75">
      <c r="A866">
        <v>852</v>
      </c>
      <c r="B866" t="s">
        <v>4223</v>
      </c>
      <c r="C866" t="s">
        <v>4224</v>
      </c>
      <c r="D866" t="s">
        <v>2780</v>
      </c>
      <c r="E866" t="s">
        <v>2781</v>
      </c>
      <c r="F866" t="str">
        <f>"206/354"</f>
        <v>206/354</v>
      </c>
      <c r="G866" t="s">
        <v>1045</v>
      </c>
      <c r="H866" t="s">
        <v>4225</v>
      </c>
      <c r="I866">
        <v>29.29</v>
      </c>
    </row>
    <row r="867" spans="1:9" ht="12.75">
      <c r="A867">
        <v>853</v>
      </c>
      <c r="B867" t="s">
        <v>4226</v>
      </c>
      <c r="C867" t="s">
        <v>1048</v>
      </c>
      <c r="D867" t="s">
        <v>2780</v>
      </c>
      <c r="E867" t="s">
        <v>2818</v>
      </c>
      <c r="F867" t="str">
        <f>"150/380"</f>
        <v>150/380</v>
      </c>
      <c r="G867" t="s">
        <v>3261</v>
      </c>
      <c r="H867" t="s">
        <v>4227</v>
      </c>
      <c r="I867">
        <v>29.28</v>
      </c>
    </row>
    <row r="868" spans="1:9" ht="12.75">
      <c r="A868">
        <v>854</v>
      </c>
      <c r="B868" t="s">
        <v>4228</v>
      </c>
      <c r="C868" t="s">
        <v>504</v>
      </c>
      <c r="D868" t="s">
        <v>2780</v>
      </c>
      <c r="E868" t="s">
        <v>2823</v>
      </c>
      <c r="F868" t="str">
        <f>"324/668"</f>
        <v>324/668</v>
      </c>
      <c r="G868" t="s">
        <v>2540</v>
      </c>
      <c r="H868" t="s">
        <v>4229</v>
      </c>
      <c r="I868">
        <v>29.28</v>
      </c>
    </row>
    <row r="869" spans="1:9" ht="12.75">
      <c r="A869">
        <v>855</v>
      </c>
      <c r="B869" t="s">
        <v>2481</v>
      </c>
      <c r="C869" t="s">
        <v>54</v>
      </c>
      <c r="D869" t="s">
        <v>2780</v>
      </c>
      <c r="E869" t="s">
        <v>2823</v>
      </c>
      <c r="F869" t="str">
        <f>"325/668"</f>
        <v>325/668</v>
      </c>
      <c r="G869" t="s">
        <v>4230</v>
      </c>
      <c r="H869" t="s">
        <v>4231</v>
      </c>
      <c r="I869">
        <v>29.28</v>
      </c>
    </row>
    <row r="870" spans="1:9" ht="12.75">
      <c r="A870">
        <v>856</v>
      </c>
      <c r="B870" t="s">
        <v>7689</v>
      </c>
      <c r="C870" t="s">
        <v>3141</v>
      </c>
      <c r="D870" t="s">
        <v>2780</v>
      </c>
      <c r="E870" t="s">
        <v>2823</v>
      </c>
      <c r="F870" t="str">
        <f>"326/668"</f>
        <v>326/668</v>
      </c>
      <c r="G870" t="s">
        <v>3261</v>
      </c>
      <c r="H870" t="s">
        <v>4232</v>
      </c>
      <c r="I870">
        <v>29.27</v>
      </c>
    </row>
    <row r="871" spans="1:9" ht="12.75">
      <c r="A871">
        <v>857</v>
      </c>
      <c r="B871" t="s">
        <v>4233</v>
      </c>
      <c r="C871" t="s">
        <v>2830</v>
      </c>
      <c r="D871" t="s">
        <v>2780</v>
      </c>
      <c r="E871" t="s">
        <v>2818</v>
      </c>
      <c r="F871" t="str">
        <f>"151/380"</f>
        <v>151/380</v>
      </c>
      <c r="G871" t="s">
        <v>3261</v>
      </c>
      <c r="H871" t="s">
        <v>4234</v>
      </c>
      <c r="I871">
        <v>29.26</v>
      </c>
    </row>
    <row r="872" spans="1:9" ht="12.75">
      <c r="A872">
        <v>858</v>
      </c>
      <c r="B872" t="s">
        <v>4235</v>
      </c>
      <c r="C872" t="s">
        <v>2830</v>
      </c>
      <c r="D872" t="s">
        <v>2780</v>
      </c>
      <c r="E872" t="s">
        <v>2823</v>
      </c>
      <c r="F872" t="str">
        <f>"327/668"</f>
        <v>327/668</v>
      </c>
      <c r="G872" t="s">
        <v>4236</v>
      </c>
      <c r="H872" t="s">
        <v>4237</v>
      </c>
      <c r="I872">
        <v>29.26</v>
      </c>
    </row>
    <row r="873" spans="1:9" ht="12.75">
      <c r="A873">
        <v>859</v>
      </c>
      <c r="B873" t="s">
        <v>4238</v>
      </c>
      <c r="C873" t="s">
        <v>2814</v>
      </c>
      <c r="D873" t="s">
        <v>2780</v>
      </c>
      <c r="E873" t="s">
        <v>2781</v>
      </c>
      <c r="F873" t="str">
        <f>"207/354"</f>
        <v>207/354</v>
      </c>
      <c r="G873" t="s">
        <v>7135</v>
      </c>
      <c r="H873" t="s">
        <v>4239</v>
      </c>
      <c r="I873">
        <v>29.26</v>
      </c>
    </row>
    <row r="874" spans="1:9" ht="12.75">
      <c r="A874">
        <v>860</v>
      </c>
      <c r="B874" t="s">
        <v>4240</v>
      </c>
      <c r="C874" t="s">
        <v>3114</v>
      </c>
      <c r="D874" t="s">
        <v>2780</v>
      </c>
      <c r="E874" t="s">
        <v>2823</v>
      </c>
      <c r="F874" t="str">
        <f>"328/668"</f>
        <v>328/668</v>
      </c>
      <c r="G874" t="s">
        <v>2920</v>
      </c>
      <c r="H874" t="s">
        <v>4241</v>
      </c>
      <c r="I874">
        <v>29.25</v>
      </c>
    </row>
    <row r="875" spans="1:9" ht="12.75">
      <c r="A875">
        <v>861</v>
      </c>
      <c r="B875" t="s">
        <v>4242</v>
      </c>
      <c r="C875" t="s">
        <v>43</v>
      </c>
      <c r="D875" t="s">
        <v>2780</v>
      </c>
      <c r="E875" t="s">
        <v>2823</v>
      </c>
      <c r="F875" t="str">
        <f>"329/668"</f>
        <v>329/668</v>
      </c>
      <c r="G875" t="s">
        <v>3042</v>
      </c>
      <c r="H875" t="s">
        <v>4243</v>
      </c>
      <c r="I875">
        <v>29.25</v>
      </c>
    </row>
    <row r="876" spans="1:9" ht="12.75">
      <c r="A876">
        <v>862</v>
      </c>
      <c r="B876" t="s">
        <v>3090</v>
      </c>
      <c r="C876" t="s">
        <v>4244</v>
      </c>
      <c r="D876" t="s">
        <v>2780</v>
      </c>
      <c r="E876" t="s">
        <v>2823</v>
      </c>
      <c r="F876" t="str">
        <f>"330/668"</f>
        <v>330/668</v>
      </c>
      <c r="G876" t="s">
        <v>2969</v>
      </c>
      <c r="H876" t="s">
        <v>4245</v>
      </c>
      <c r="I876">
        <v>29.24</v>
      </c>
    </row>
    <row r="877" spans="1:9" ht="12.75">
      <c r="A877">
        <v>863</v>
      </c>
      <c r="B877" t="s">
        <v>503</v>
      </c>
      <c r="C877" t="s">
        <v>2963</v>
      </c>
      <c r="D877" t="s">
        <v>2780</v>
      </c>
      <c r="E877" t="s">
        <v>2823</v>
      </c>
      <c r="F877" t="str">
        <f>"331/668"</f>
        <v>331/668</v>
      </c>
      <c r="G877" t="s">
        <v>3060</v>
      </c>
      <c r="H877" t="s">
        <v>4246</v>
      </c>
      <c r="I877">
        <v>29.24</v>
      </c>
    </row>
    <row r="878" spans="1:9" ht="12.75">
      <c r="A878">
        <v>864</v>
      </c>
      <c r="B878" t="s">
        <v>3378</v>
      </c>
      <c r="C878" t="s">
        <v>2857</v>
      </c>
      <c r="D878" t="s">
        <v>2780</v>
      </c>
      <c r="E878" t="s">
        <v>2781</v>
      </c>
      <c r="F878" t="str">
        <f>"208/354"</f>
        <v>208/354</v>
      </c>
      <c r="G878" t="s">
        <v>4247</v>
      </c>
      <c r="H878" t="s">
        <v>4248</v>
      </c>
      <c r="I878">
        <v>29.24</v>
      </c>
    </row>
    <row r="879" spans="1:9" ht="12.75">
      <c r="A879">
        <v>865</v>
      </c>
      <c r="B879" t="s">
        <v>4249</v>
      </c>
      <c r="C879" t="s">
        <v>2861</v>
      </c>
      <c r="D879" t="s">
        <v>2780</v>
      </c>
      <c r="E879" t="s">
        <v>2823</v>
      </c>
      <c r="F879" t="str">
        <f>"332/668"</f>
        <v>332/668</v>
      </c>
      <c r="G879" t="s">
        <v>2889</v>
      </c>
      <c r="H879" t="s">
        <v>4250</v>
      </c>
      <c r="I879">
        <v>29.23</v>
      </c>
    </row>
    <row r="880" spans="1:9" ht="12.75">
      <c r="A880">
        <v>866</v>
      </c>
      <c r="B880" t="s">
        <v>4251</v>
      </c>
      <c r="C880" t="s">
        <v>3625</v>
      </c>
      <c r="D880" t="s">
        <v>2780</v>
      </c>
      <c r="E880" t="s">
        <v>2818</v>
      </c>
      <c r="F880" t="str">
        <f>"152/380"</f>
        <v>152/380</v>
      </c>
      <c r="G880" t="s">
        <v>3656</v>
      </c>
      <c r="H880" t="s">
        <v>4252</v>
      </c>
      <c r="I880">
        <v>29.22</v>
      </c>
    </row>
    <row r="881" spans="1:9" ht="12.75">
      <c r="A881">
        <v>867</v>
      </c>
      <c r="B881" t="s">
        <v>4253</v>
      </c>
      <c r="C881" t="s">
        <v>2807</v>
      </c>
      <c r="D881" t="s">
        <v>2780</v>
      </c>
      <c r="E881" t="s">
        <v>2781</v>
      </c>
      <c r="F881" t="str">
        <f>"209/354"</f>
        <v>209/354</v>
      </c>
      <c r="G881" t="s">
        <v>4254</v>
      </c>
      <c r="H881" t="s">
        <v>4255</v>
      </c>
      <c r="I881">
        <v>29.22</v>
      </c>
    </row>
    <row r="882" spans="1:9" ht="12.75">
      <c r="A882">
        <v>868</v>
      </c>
      <c r="B882" t="s">
        <v>4256</v>
      </c>
      <c r="C882" t="s">
        <v>2814</v>
      </c>
      <c r="D882" t="s">
        <v>2780</v>
      </c>
      <c r="E882" t="s">
        <v>2823</v>
      </c>
      <c r="F882" t="str">
        <f>"333/668"</f>
        <v>333/668</v>
      </c>
      <c r="G882" t="s">
        <v>2315</v>
      </c>
      <c r="H882" t="s">
        <v>4257</v>
      </c>
      <c r="I882">
        <v>29.22</v>
      </c>
    </row>
    <row r="883" spans="1:9" ht="12.75">
      <c r="A883">
        <v>869</v>
      </c>
      <c r="B883" t="s">
        <v>445</v>
      </c>
      <c r="C883" t="s">
        <v>2836</v>
      </c>
      <c r="D883" t="s">
        <v>2780</v>
      </c>
      <c r="E883" t="s">
        <v>2823</v>
      </c>
      <c r="F883" t="str">
        <f>"334/668"</f>
        <v>334/668</v>
      </c>
      <c r="G883" t="s">
        <v>57</v>
      </c>
      <c r="H883" t="s">
        <v>4258</v>
      </c>
      <c r="I883">
        <v>29.21</v>
      </c>
    </row>
    <row r="884" spans="1:9" ht="12.75">
      <c r="A884">
        <v>870</v>
      </c>
      <c r="B884" t="s">
        <v>4259</v>
      </c>
      <c r="C884" t="s">
        <v>3008</v>
      </c>
      <c r="D884" t="s">
        <v>2780</v>
      </c>
      <c r="E884" t="s">
        <v>2823</v>
      </c>
      <c r="F884" t="str">
        <f>"335/668"</f>
        <v>335/668</v>
      </c>
      <c r="G884" t="s">
        <v>7556</v>
      </c>
      <c r="H884" t="s">
        <v>4260</v>
      </c>
      <c r="I884">
        <v>29.21</v>
      </c>
    </row>
    <row r="885" spans="1:9" ht="12.75">
      <c r="A885">
        <v>871</v>
      </c>
      <c r="B885" t="s">
        <v>4261</v>
      </c>
      <c r="C885" t="s">
        <v>3633</v>
      </c>
      <c r="D885" t="s">
        <v>2780</v>
      </c>
      <c r="E885" t="s">
        <v>2823</v>
      </c>
      <c r="F885" t="str">
        <f>"336/668"</f>
        <v>336/668</v>
      </c>
      <c r="G885" t="s">
        <v>4262</v>
      </c>
      <c r="H885" t="s">
        <v>4263</v>
      </c>
      <c r="I885">
        <v>29.21</v>
      </c>
    </row>
    <row r="886" spans="1:9" ht="12.75">
      <c r="A886">
        <v>872</v>
      </c>
      <c r="B886" t="s">
        <v>4264</v>
      </c>
      <c r="C886" t="s">
        <v>2861</v>
      </c>
      <c r="D886" t="s">
        <v>2780</v>
      </c>
      <c r="E886" t="s">
        <v>2823</v>
      </c>
      <c r="F886" t="str">
        <f>"337/668"</f>
        <v>337/668</v>
      </c>
      <c r="G886" t="s">
        <v>3206</v>
      </c>
      <c r="H886" t="s">
        <v>4265</v>
      </c>
      <c r="I886">
        <v>29.21</v>
      </c>
    </row>
    <row r="887" spans="1:9" ht="12.75">
      <c r="A887">
        <v>873</v>
      </c>
      <c r="B887" t="s">
        <v>4266</v>
      </c>
      <c r="C887" t="s">
        <v>2836</v>
      </c>
      <c r="D887" t="s">
        <v>2780</v>
      </c>
      <c r="E887" t="s">
        <v>2973</v>
      </c>
      <c r="F887" t="str">
        <f>"38/147"</f>
        <v>38/147</v>
      </c>
      <c r="G887" t="s">
        <v>758</v>
      </c>
      <c r="H887" t="s">
        <v>4267</v>
      </c>
      <c r="I887">
        <v>29.2</v>
      </c>
    </row>
    <row r="888" spans="1:9" ht="12.75">
      <c r="A888">
        <v>874</v>
      </c>
      <c r="B888" t="s">
        <v>4268</v>
      </c>
      <c r="C888" t="s">
        <v>3633</v>
      </c>
      <c r="D888" t="s">
        <v>2780</v>
      </c>
      <c r="E888" t="s">
        <v>2823</v>
      </c>
      <c r="F888" t="str">
        <f>"338/668"</f>
        <v>338/668</v>
      </c>
      <c r="G888" t="s">
        <v>4269</v>
      </c>
      <c r="H888" t="s">
        <v>4270</v>
      </c>
      <c r="I888">
        <v>29.19</v>
      </c>
    </row>
    <row r="889" spans="1:9" ht="12.75">
      <c r="A889">
        <v>875</v>
      </c>
      <c r="B889" t="s">
        <v>4271</v>
      </c>
      <c r="C889" t="s">
        <v>2991</v>
      </c>
      <c r="D889" t="s">
        <v>2780</v>
      </c>
      <c r="E889" t="s">
        <v>2781</v>
      </c>
      <c r="F889" t="str">
        <f>"210/354"</f>
        <v>210/354</v>
      </c>
      <c r="G889" t="s">
        <v>4272</v>
      </c>
      <c r="H889" t="s">
        <v>4273</v>
      </c>
      <c r="I889">
        <v>29.18</v>
      </c>
    </row>
    <row r="890" spans="1:9" ht="12.75">
      <c r="A890">
        <v>876</v>
      </c>
      <c r="B890" t="s">
        <v>4274</v>
      </c>
      <c r="C890" t="s">
        <v>2942</v>
      </c>
      <c r="D890" t="s">
        <v>2780</v>
      </c>
      <c r="E890" t="s">
        <v>2823</v>
      </c>
      <c r="F890" t="str">
        <f>"339/668"</f>
        <v>339/668</v>
      </c>
      <c r="G890" t="s">
        <v>3516</v>
      </c>
      <c r="H890" t="s">
        <v>4275</v>
      </c>
      <c r="I890">
        <v>29.17</v>
      </c>
    </row>
    <row r="891" spans="1:9" ht="12.75">
      <c r="A891">
        <v>877</v>
      </c>
      <c r="B891" t="s">
        <v>2922</v>
      </c>
      <c r="C891" t="s">
        <v>3017</v>
      </c>
      <c r="D891" t="s">
        <v>2780</v>
      </c>
      <c r="E891" t="s">
        <v>2781</v>
      </c>
      <c r="F891" t="str">
        <f>"211/354"</f>
        <v>211/354</v>
      </c>
      <c r="G891" t="s">
        <v>5571</v>
      </c>
      <c r="H891" t="s">
        <v>4276</v>
      </c>
      <c r="I891">
        <v>29.17</v>
      </c>
    </row>
    <row r="892" spans="1:9" ht="12.75">
      <c r="A892">
        <v>878</v>
      </c>
      <c r="B892" t="s">
        <v>4277</v>
      </c>
      <c r="C892" t="s">
        <v>4278</v>
      </c>
      <c r="D892" t="s">
        <v>2780</v>
      </c>
      <c r="E892" t="s">
        <v>2781</v>
      </c>
      <c r="F892" t="str">
        <f>"212/354"</f>
        <v>212/354</v>
      </c>
      <c r="G892" t="s">
        <v>3042</v>
      </c>
      <c r="H892" t="s">
        <v>4279</v>
      </c>
      <c r="I892">
        <v>29.16</v>
      </c>
    </row>
    <row r="893" spans="1:9" ht="12.75">
      <c r="A893">
        <v>879</v>
      </c>
      <c r="B893" t="s">
        <v>3835</v>
      </c>
      <c r="C893" t="s">
        <v>5422</v>
      </c>
      <c r="D893" t="s">
        <v>2780</v>
      </c>
      <c r="E893" t="s">
        <v>2823</v>
      </c>
      <c r="F893" t="str">
        <f>"340/668"</f>
        <v>340/668</v>
      </c>
      <c r="G893" t="s">
        <v>607</v>
      </c>
      <c r="H893" t="s">
        <v>4280</v>
      </c>
      <c r="I893">
        <v>29.15</v>
      </c>
    </row>
    <row r="894" spans="1:9" ht="12.75">
      <c r="A894">
        <v>880</v>
      </c>
      <c r="B894" t="s">
        <v>4281</v>
      </c>
      <c r="C894" t="s">
        <v>3286</v>
      </c>
      <c r="D894" t="s">
        <v>2780</v>
      </c>
      <c r="E894" t="s">
        <v>2818</v>
      </c>
      <c r="F894" t="str">
        <f>"153/380"</f>
        <v>153/380</v>
      </c>
      <c r="G894" t="s">
        <v>2219</v>
      </c>
      <c r="H894" t="s">
        <v>4282</v>
      </c>
      <c r="I894">
        <v>29.14</v>
      </c>
    </row>
    <row r="895" spans="1:9" ht="12.75">
      <c r="A895">
        <v>881</v>
      </c>
      <c r="B895" t="s">
        <v>4283</v>
      </c>
      <c r="C895" t="s">
        <v>5564</v>
      </c>
      <c r="D895" t="s">
        <v>2780</v>
      </c>
      <c r="E895" t="s">
        <v>2818</v>
      </c>
      <c r="F895" t="str">
        <f>"154/380"</f>
        <v>154/380</v>
      </c>
      <c r="G895" t="s">
        <v>3277</v>
      </c>
      <c r="H895" t="s">
        <v>4284</v>
      </c>
      <c r="I895">
        <v>29.12</v>
      </c>
    </row>
    <row r="896" spans="1:9" ht="12.75">
      <c r="A896">
        <v>882</v>
      </c>
      <c r="B896" t="s">
        <v>4285</v>
      </c>
      <c r="C896" t="s">
        <v>2895</v>
      </c>
      <c r="D896" t="s">
        <v>2780</v>
      </c>
      <c r="E896" t="s">
        <v>2823</v>
      </c>
      <c r="F896" t="str">
        <f>"341/668"</f>
        <v>341/668</v>
      </c>
      <c r="G896" t="s">
        <v>4286</v>
      </c>
      <c r="H896" t="s">
        <v>4287</v>
      </c>
      <c r="I896">
        <v>29.11</v>
      </c>
    </row>
    <row r="897" spans="1:9" ht="12.75">
      <c r="A897">
        <v>883</v>
      </c>
      <c r="B897" t="s">
        <v>5465</v>
      </c>
      <c r="C897" t="s">
        <v>2836</v>
      </c>
      <c r="D897" t="s">
        <v>2780</v>
      </c>
      <c r="E897" t="s">
        <v>2823</v>
      </c>
      <c r="F897" t="str">
        <f>"342/668"</f>
        <v>342/668</v>
      </c>
      <c r="G897" t="s">
        <v>758</v>
      </c>
      <c r="H897" t="s">
        <v>4288</v>
      </c>
      <c r="I897">
        <v>29.11</v>
      </c>
    </row>
    <row r="898" spans="1:9" ht="12.75">
      <c r="A898">
        <v>884</v>
      </c>
      <c r="B898" t="s">
        <v>4289</v>
      </c>
      <c r="C898" t="s">
        <v>2081</v>
      </c>
      <c r="D898" t="s">
        <v>2780</v>
      </c>
      <c r="E898" t="s">
        <v>2818</v>
      </c>
      <c r="F898" t="str">
        <f>"155/380"</f>
        <v>155/380</v>
      </c>
      <c r="G898" t="s">
        <v>3046</v>
      </c>
      <c r="H898" t="s">
        <v>4290</v>
      </c>
      <c r="I898">
        <v>29.1</v>
      </c>
    </row>
    <row r="899" spans="1:9" ht="12.75">
      <c r="A899">
        <v>885</v>
      </c>
      <c r="B899" t="s">
        <v>4291</v>
      </c>
      <c r="C899" t="s">
        <v>3201</v>
      </c>
      <c r="D899" t="s">
        <v>2780</v>
      </c>
      <c r="E899" t="s">
        <v>2781</v>
      </c>
      <c r="F899" t="str">
        <f>"213/354"</f>
        <v>213/354</v>
      </c>
      <c r="G899" t="s">
        <v>4286</v>
      </c>
      <c r="H899" t="s">
        <v>4292</v>
      </c>
      <c r="I899">
        <v>29.09</v>
      </c>
    </row>
    <row r="900" spans="1:9" ht="12.75">
      <c r="A900">
        <v>886</v>
      </c>
      <c r="B900" t="s">
        <v>907</v>
      </c>
      <c r="C900" t="s">
        <v>2857</v>
      </c>
      <c r="D900" t="s">
        <v>2780</v>
      </c>
      <c r="E900" t="s">
        <v>2823</v>
      </c>
      <c r="F900" t="str">
        <f>"343/668"</f>
        <v>343/668</v>
      </c>
      <c r="G900" t="s">
        <v>908</v>
      </c>
      <c r="H900" t="s">
        <v>4293</v>
      </c>
      <c r="I900">
        <v>29.09</v>
      </c>
    </row>
    <row r="901" spans="1:9" ht="12.75">
      <c r="A901">
        <v>887</v>
      </c>
      <c r="B901" t="s">
        <v>4294</v>
      </c>
      <c r="C901" t="s">
        <v>2826</v>
      </c>
      <c r="D901" t="s">
        <v>2780</v>
      </c>
      <c r="E901" t="s">
        <v>2823</v>
      </c>
      <c r="F901" t="str">
        <f>"344/668"</f>
        <v>344/668</v>
      </c>
      <c r="G901" t="s">
        <v>2804</v>
      </c>
      <c r="H901" t="s">
        <v>4295</v>
      </c>
      <c r="I901">
        <v>29.08</v>
      </c>
    </row>
    <row r="902" spans="1:9" ht="12.75">
      <c r="A902">
        <v>888</v>
      </c>
      <c r="B902" t="s">
        <v>558</v>
      </c>
      <c r="C902" t="s">
        <v>615</v>
      </c>
      <c r="D902" t="s">
        <v>2780</v>
      </c>
      <c r="E902" t="s">
        <v>2818</v>
      </c>
      <c r="F902" t="str">
        <f>"156/380"</f>
        <v>156/380</v>
      </c>
      <c r="G902" t="s">
        <v>908</v>
      </c>
      <c r="H902" t="s">
        <v>4296</v>
      </c>
      <c r="I902">
        <v>29.08</v>
      </c>
    </row>
    <row r="903" spans="1:9" ht="12.75">
      <c r="A903">
        <v>889</v>
      </c>
      <c r="B903" t="s">
        <v>4297</v>
      </c>
      <c r="C903" t="s">
        <v>2807</v>
      </c>
      <c r="D903" t="s">
        <v>2780</v>
      </c>
      <c r="E903" t="s">
        <v>2781</v>
      </c>
      <c r="F903" t="str">
        <f>"214/354"</f>
        <v>214/354</v>
      </c>
      <c r="G903" t="s">
        <v>4298</v>
      </c>
      <c r="H903" t="s">
        <v>4299</v>
      </c>
      <c r="I903">
        <v>29.08</v>
      </c>
    </row>
    <row r="904" spans="1:9" ht="12.75">
      <c r="A904">
        <v>890</v>
      </c>
      <c r="B904" t="s">
        <v>474</v>
      </c>
      <c r="C904" t="s">
        <v>2840</v>
      </c>
      <c r="D904" t="s">
        <v>2780</v>
      </c>
      <c r="E904" t="s">
        <v>2781</v>
      </c>
      <c r="F904" t="str">
        <f>"215/354"</f>
        <v>215/354</v>
      </c>
      <c r="G904" t="s">
        <v>4298</v>
      </c>
      <c r="H904" t="s">
        <v>4300</v>
      </c>
      <c r="I904">
        <v>29.08</v>
      </c>
    </row>
    <row r="905" spans="1:9" ht="12.75">
      <c r="A905">
        <v>891</v>
      </c>
      <c r="B905" t="s">
        <v>672</v>
      </c>
      <c r="C905" t="s">
        <v>3286</v>
      </c>
      <c r="D905" t="s">
        <v>2780</v>
      </c>
      <c r="E905" t="s">
        <v>2823</v>
      </c>
      <c r="F905" t="str">
        <f>"345/668"</f>
        <v>345/668</v>
      </c>
      <c r="G905" t="s">
        <v>4301</v>
      </c>
      <c r="H905" t="s">
        <v>4302</v>
      </c>
      <c r="I905">
        <v>29.07</v>
      </c>
    </row>
    <row r="906" spans="1:9" ht="12.75">
      <c r="A906">
        <v>892</v>
      </c>
      <c r="B906" t="s">
        <v>520</v>
      </c>
      <c r="C906" t="s">
        <v>3760</v>
      </c>
      <c r="D906" t="s">
        <v>2780</v>
      </c>
      <c r="E906" t="s">
        <v>2923</v>
      </c>
      <c r="F906" t="str">
        <f>"2/5"</f>
        <v>2/5</v>
      </c>
      <c r="G906" t="s">
        <v>4303</v>
      </c>
      <c r="H906" t="s">
        <v>4304</v>
      </c>
      <c r="I906">
        <v>29.07</v>
      </c>
    </row>
    <row r="907" spans="1:9" ht="12.75">
      <c r="A907">
        <v>893</v>
      </c>
      <c r="B907" t="s">
        <v>3086</v>
      </c>
      <c r="C907" t="s">
        <v>3438</v>
      </c>
      <c r="D907" t="s">
        <v>2780</v>
      </c>
      <c r="E907" t="s">
        <v>2818</v>
      </c>
      <c r="F907" t="str">
        <f>"157/380"</f>
        <v>157/380</v>
      </c>
      <c r="G907" t="s">
        <v>3584</v>
      </c>
      <c r="H907" t="s">
        <v>4305</v>
      </c>
      <c r="I907">
        <v>29.06</v>
      </c>
    </row>
    <row r="908" spans="1:9" ht="12.75">
      <c r="A908">
        <v>894</v>
      </c>
      <c r="B908" t="s">
        <v>4306</v>
      </c>
      <c r="C908" t="s">
        <v>2914</v>
      </c>
      <c r="D908" t="s">
        <v>2780</v>
      </c>
      <c r="E908" t="s">
        <v>2799</v>
      </c>
      <c r="F908" t="str">
        <f>"63/100"</f>
        <v>63/100</v>
      </c>
      <c r="G908" t="s">
        <v>2074</v>
      </c>
      <c r="H908" t="s">
        <v>4307</v>
      </c>
      <c r="I908">
        <v>29.06</v>
      </c>
    </row>
    <row r="909" spans="1:9" ht="12.75">
      <c r="A909">
        <v>895</v>
      </c>
      <c r="B909" t="s">
        <v>4308</v>
      </c>
      <c r="C909" t="s">
        <v>2836</v>
      </c>
      <c r="D909" t="s">
        <v>2780</v>
      </c>
      <c r="E909" t="s">
        <v>2823</v>
      </c>
      <c r="F909" t="str">
        <f>"346/668"</f>
        <v>346/668</v>
      </c>
      <c r="G909" t="s">
        <v>3277</v>
      </c>
      <c r="H909" t="s">
        <v>4309</v>
      </c>
      <c r="I909">
        <v>29.04</v>
      </c>
    </row>
    <row r="910" spans="1:9" ht="12.75">
      <c r="A910">
        <v>896</v>
      </c>
      <c r="B910" t="s">
        <v>4310</v>
      </c>
      <c r="C910" t="s">
        <v>700</v>
      </c>
      <c r="D910" t="s">
        <v>2780</v>
      </c>
      <c r="E910" t="s">
        <v>2818</v>
      </c>
      <c r="F910" t="str">
        <f>"158/380"</f>
        <v>158/380</v>
      </c>
      <c r="G910" t="s">
        <v>3338</v>
      </c>
      <c r="H910" t="s">
        <v>4311</v>
      </c>
      <c r="I910">
        <v>29.04</v>
      </c>
    </row>
    <row r="911" spans="1:9" ht="12.75">
      <c r="A911">
        <v>897</v>
      </c>
      <c r="B911" t="s">
        <v>4312</v>
      </c>
      <c r="C911" t="s">
        <v>4313</v>
      </c>
      <c r="D911" t="s">
        <v>3031</v>
      </c>
      <c r="E911" t="s">
        <v>3244</v>
      </c>
      <c r="F911" t="str">
        <f>"14/40"</f>
        <v>14/40</v>
      </c>
      <c r="G911" t="s">
        <v>3338</v>
      </c>
      <c r="H911" t="s">
        <v>4314</v>
      </c>
      <c r="I911">
        <v>29.04</v>
      </c>
    </row>
    <row r="912" spans="1:9" ht="12.75">
      <c r="A912">
        <v>898</v>
      </c>
      <c r="B912" t="s">
        <v>4315</v>
      </c>
      <c r="C912" t="s">
        <v>3091</v>
      </c>
      <c r="D912" t="s">
        <v>2780</v>
      </c>
      <c r="E912" t="s">
        <v>2818</v>
      </c>
      <c r="F912" t="str">
        <f>"159/380"</f>
        <v>159/380</v>
      </c>
      <c r="G912" t="s">
        <v>2464</v>
      </c>
      <c r="H912" t="s">
        <v>4316</v>
      </c>
      <c r="I912">
        <v>29.03</v>
      </c>
    </row>
    <row r="913" spans="1:9" ht="12.75">
      <c r="A913">
        <v>899</v>
      </c>
      <c r="B913" t="s">
        <v>4317</v>
      </c>
      <c r="C913" t="s">
        <v>4318</v>
      </c>
      <c r="D913" t="s">
        <v>3031</v>
      </c>
      <c r="E913" t="s">
        <v>3032</v>
      </c>
      <c r="F913" t="str">
        <f>"11/25"</f>
        <v>11/25</v>
      </c>
      <c r="G913" t="s">
        <v>2982</v>
      </c>
      <c r="H913" t="s">
        <v>4319</v>
      </c>
      <c r="I913">
        <v>29.03</v>
      </c>
    </row>
    <row r="914" spans="1:9" ht="12.75">
      <c r="A914">
        <v>900</v>
      </c>
      <c r="B914" t="s">
        <v>4320</v>
      </c>
      <c r="C914" t="s">
        <v>2807</v>
      </c>
      <c r="D914" t="s">
        <v>2780</v>
      </c>
      <c r="E914" t="s">
        <v>2823</v>
      </c>
      <c r="F914" t="str">
        <f>"347/668"</f>
        <v>347/668</v>
      </c>
      <c r="G914" t="s">
        <v>3543</v>
      </c>
      <c r="H914" t="s">
        <v>4321</v>
      </c>
      <c r="I914">
        <v>29.02</v>
      </c>
    </row>
    <row r="915" spans="1:9" ht="12.75">
      <c r="A915">
        <v>901</v>
      </c>
      <c r="B915" t="s">
        <v>4322</v>
      </c>
      <c r="C915" t="s">
        <v>2836</v>
      </c>
      <c r="D915" t="s">
        <v>2780</v>
      </c>
      <c r="E915" t="s">
        <v>2973</v>
      </c>
      <c r="F915" t="str">
        <f>"39/147"</f>
        <v>39/147</v>
      </c>
      <c r="G915" t="s">
        <v>4323</v>
      </c>
      <c r="H915" t="s">
        <v>4324</v>
      </c>
      <c r="I915">
        <v>29.01</v>
      </c>
    </row>
    <row r="916" spans="1:9" ht="12.75">
      <c r="A916">
        <v>902</v>
      </c>
      <c r="B916" t="s">
        <v>4325</v>
      </c>
      <c r="C916" t="s">
        <v>2857</v>
      </c>
      <c r="D916" t="s">
        <v>2780</v>
      </c>
      <c r="E916" t="s">
        <v>2818</v>
      </c>
      <c r="F916" t="str">
        <f>"160/380"</f>
        <v>160/380</v>
      </c>
      <c r="G916" t="s">
        <v>3134</v>
      </c>
      <c r="H916" t="s">
        <v>4326</v>
      </c>
      <c r="I916">
        <v>28.99</v>
      </c>
    </row>
    <row r="917" spans="1:9" ht="12.75">
      <c r="A917">
        <v>903</v>
      </c>
      <c r="B917" t="s">
        <v>4327</v>
      </c>
      <c r="C917" t="s">
        <v>3594</v>
      </c>
      <c r="D917" t="s">
        <v>2780</v>
      </c>
      <c r="E917" t="s">
        <v>2973</v>
      </c>
      <c r="F917" t="str">
        <f>"40/147"</f>
        <v>40/147</v>
      </c>
      <c r="G917" t="s">
        <v>3067</v>
      </c>
      <c r="H917" t="s">
        <v>4328</v>
      </c>
      <c r="I917">
        <v>28.99</v>
      </c>
    </row>
    <row r="918" spans="1:9" ht="12.75">
      <c r="A918">
        <v>904</v>
      </c>
      <c r="B918" t="s">
        <v>4329</v>
      </c>
      <c r="C918" t="s">
        <v>54</v>
      </c>
      <c r="D918" t="s">
        <v>2780</v>
      </c>
      <c r="E918" t="s">
        <v>2973</v>
      </c>
      <c r="F918" t="str">
        <f>"41/147"</f>
        <v>41/147</v>
      </c>
      <c r="G918" t="s">
        <v>4330</v>
      </c>
      <c r="H918" t="s">
        <v>4331</v>
      </c>
      <c r="I918">
        <v>28.99</v>
      </c>
    </row>
    <row r="919" spans="1:9" ht="12.75">
      <c r="A919">
        <v>905</v>
      </c>
      <c r="B919" t="s">
        <v>3299</v>
      </c>
      <c r="C919" t="s">
        <v>3114</v>
      </c>
      <c r="D919" t="s">
        <v>2780</v>
      </c>
      <c r="E919" t="s">
        <v>2823</v>
      </c>
      <c r="F919" t="str">
        <f>"348/668"</f>
        <v>348/668</v>
      </c>
      <c r="G919" t="s">
        <v>2889</v>
      </c>
      <c r="H919" t="s">
        <v>4331</v>
      </c>
      <c r="I919">
        <v>28.99</v>
      </c>
    </row>
    <row r="920" spans="1:9" ht="12.75">
      <c r="A920">
        <v>906</v>
      </c>
      <c r="B920" t="s">
        <v>2121</v>
      </c>
      <c r="C920" t="s">
        <v>2886</v>
      </c>
      <c r="D920" t="s">
        <v>2780</v>
      </c>
      <c r="E920" t="s">
        <v>2781</v>
      </c>
      <c r="F920" t="str">
        <f>"216/354"</f>
        <v>216/354</v>
      </c>
      <c r="G920" t="s">
        <v>5353</v>
      </c>
      <c r="H920" t="s">
        <v>4332</v>
      </c>
      <c r="I920">
        <v>28.99</v>
      </c>
    </row>
    <row r="921" spans="1:9" ht="12.75">
      <c r="A921">
        <v>907</v>
      </c>
      <c r="B921" t="s">
        <v>3242</v>
      </c>
      <c r="C921" t="s">
        <v>2362</v>
      </c>
      <c r="D921" t="s">
        <v>2780</v>
      </c>
      <c r="E921" t="s">
        <v>2818</v>
      </c>
      <c r="F921" t="str">
        <f>"161/380"</f>
        <v>161/380</v>
      </c>
      <c r="G921" t="s">
        <v>2243</v>
      </c>
      <c r="H921" t="s">
        <v>4333</v>
      </c>
      <c r="I921">
        <v>28.98</v>
      </c>
    </row>
    <row r="922" spans="1:9" ht="12.75">
      <c r="A922">
        <v>908</v>
      </c>
      <c r="B922" t="s">
        <v>4334</v>
      </c>
      <c r="C922" t="s">
        <v>3633</v>
      </c>
      <c r="D922" t="s">
        <v>2780</v>
      </c>
      <c r="E922" t="s">
        <v>2818</v>
      </c>
      <c r="F922" t="str">
        <f>"162/380"</f>
        <v>162/380</v>
      </c>
      <c r="G922" t="s">
        <v>4335</v>
      </c>
      <c r="H922" t="s">
        <v>4336</v>
      </c>
      <c r="I922">
        <v>28.98</v>
      </c>
    </row>
    <row r="923" spans="1:9" ht="12.75">
      <c r="A923">
        <v>909</v>
      </c>
      <c r="B923" t="s">
        <v>4910</v>
      </c>
      <c r="C923" t="s">
        <v>5593</v>
      </c>
      <c r="D923" t="s">
        <v>2780</v>
      </c>
      <c r="E923" t="s">
        <v>2823</v>
      </c>
      <c r="F923" t="str">
        <f>"349/668"</f>
        <v>349/668</v>
      </c>
      <c r="G923" t="s">
        <v>3297</v>
      </c>
      <c r="H923" t="s">
        <v>4337</v>
      </c>
      <c r="I923">
        <v>28.98</v>
      </c>
    </row>
    <row r="924" spans="1:9" ht="12.75">
      <c r="A924">
        <v>910</v>
      </c>
      <c r="B924" t="s">
        <v>1588</v>
      </c>
      <c r="C924" t="s">
        <v>504</v>
      </c>
      <c r="D924" t="s">
        <v>2780</v>
      </c>
      <c r="E924" t="s">
        <v>2823</v>
      </c>
      <c r="F924" t="str">
        <f>"350/668"</f>
        <v>350/668</v>
      </c>
      <c r="G924" t="s">
        <v>122</v>
      </c>
      <c r="H924" t="s">
        <v>4338</v>
      </c>
      <c r="I924">
        <v>28.97</v>
      </c>
    </row>
    <row r="925" spans="1:9" ht="12.75">
      <c r="A925">
        <v>911</v>
      </c>
      <c r="B925" t="s">
        <v>3115</v>
      </c>
      <c r="C925" t="s">
        <v>660</v>
      </c>
      <c r="D925" t="s">
        <v>2780</v>
      </c>
      <c r="E925" t="s">
        <v>2823</v>
      </c>
      <c r="F925" t="str">
        <f>"351/668"</f>
        <v>351/668</v>
      </c>
      <c r="G925" t="s">
        <v>1819</v>
      </c>
      <c r="H925" t="s">
        <v>4339</v>
      </c>
      <c r="I925">
        <v>28.96</v>
      </c>
    </row>
    <row r="926" spans="1:9" ht="12.75">
      <c r="A926">
        <v>912</v>
      </c>
      <c r="B926" t="s">
        <v>4340</v>
      </c>
      <c r="C926" t="s">
        <v>7291</v>
      </c>
      <c r="D926" t="s">
        <v>2780</v>
      </c>
      <c r="E926" t="s">
        <v>2823</v>
      </c>
      <c r="F926" t="str">
        <f>"352/668"</f>
        <v>352/668</v>
      </c>
      <c r="G926" t="s">
        <v>4341</v>
      </c>
      <c r="H926" t="s">
        <v>4342</v>
      </c>
      <c r="I926">
        <v>28.95</v>
      </c>
    </row>
    <row r="927" spans="1:9" ht="12.75">
      <c r="A927">
        <v>913</v>
      </c>
      <c r="B927" t="s">
        <v>4343</v>
      </c>
      <c r="C927" t="s">
        <v>1048</v>
      </c>
      <c r="D927" t="s">
        <v>2780</v>
      </c>
      <c r="E927" t="s">
        <v>2823</v>
      </c>
      <c r="F927" t="str">
        <f>"353/668"</f>
        <v>353/668</v>
      </c>
      <c r="G927" t="s">
        <v>4344</v>
      </c>
      <c r="H927" t="s">
        <v>4345</v>
      </c>
      <c r="I927">
        <v>28.93</v>
      </c>
    </row>
    <row r="928" spans="1:9" ht="12.75">
      <c r="A928">
        <v>914</v>
      </c>
      <c r="B928" t="s">
        <v>4346</v>
      </c>
      <c r="C928" t="s">
        <v>2966</v>
      </c>
      <c r="D928" t="s">
        <v>2780</v>
      </c>
      <c r="E928" t="s">
        <v>2818</v>
      </c>
      <c r="F928" t="str">
        <f>"163/380"</f>
        <v>163/380</v>
      </c>
      <c r="G928" t="s">
        <v>636</v>
      </c>
      <c r="H928" t="s">
        <v>4347</v>
      </c>
      <c r="I928">
        <v>28.93</v>
      </c>
    </row>
    <row r="929" spans="1:9" ht="12.75">
      <c r="A929">
        <v>915</v>
      </c>
      <c r="B929" t="s">
        <v>4348</v>
      </c>
      <c r="C929" t="s">
        <v>2931</v>
      </c>
      <c r="D929" t="s">
        <v>2780</v>
      </c>
      <c r="E929" t="s">
        <v>2823</v>
      </c>
      <c r="F929" t="str">
        <f>"354/668"</f>
        <v>354/668</v>
      </c>
      <c r="G929" t="s">
        <v>3516</v>
      </c>
      <c r="H929" t="s">
        <v>4349</v>
      </c>
      <c r="I929">
        <v>28.93</v>
      </c>
    </row>
    <row r="930" spans="1:9" ht="12.75">
      <c r="A930">
        <v>916</v>
      </c>
      <c r="B930" t="s">
        <v>4350</v>
      </c>
      <c r="C930" t="s">
        <v>3464</v>
      </c>
      <c r="D930" t="s">
        <v>2780</v>
      </c>
      <c r="E930" t="s">
        <v>2823</v>
      </c>
      <c r="F930" t="str">
        <f>"355/668"</f>
        <v>355/668</v>
      </c>
      <c r="G930" t="s">
        <v>459</v>
      </c>
      <c r="H930" t="s">
        <v>4351</v>
      </c>
      <c r="I930">
        <v>28.92</v>
      </c>
    </row>
    <row r="931" spans="1:9" ht="12.75">
      <c r="A931">
        <v>917</v>
      </c>
      <c r="B931" t="s">
        <v>4352</v>
      </c>
      <c r="C931" t="s">
        <v>2931</v>
      </c>
      <c r="D931" t="s">
        <v>2780</v>
      </c>
      <c r="E931" t="s">
        <v>2823</v>
      </c>
      <c r="F931" t="str">
        <f>"356/668"</f>
        <v>356/668</v>
      </c>
      <c r="G931" t="s">
        <v>7069</v>
      </c>
      <c r="H931" t="s">
        <v>4353</v>
      </c>
      <c r="I931">
        <v>28.92</v>
      </c>
    </row>
    <row r="932" spans="1:9" ht="12.75">
      <c r="A932">
        <v>918</v>
      </c>
      <c r="B932" t="s">
        <v>4354</v>
      </c>
      <c r="C932" t="s">
        <v>504</v>
      </c>
      <c r="D932" t="s">
        <v>2780</v>
      </c>
      <c r="E932" t="s">
        <v>2818</v>
      </c>
      <c r="F932" t="str">
        <f>"164/380"</f>
        <v>164/380</v>
      </c>
      <c r="G932" t="s">
        <v>2936</v>
      </c>
      <c r="H932" t="s">
        <v>4355</v>
      </c>
      <c r="I932">
        <v>28.92</v>
      </c>
    </row>
    <row r="933" spans="1:9" ht="12.75">
      <c r="A933">
        <v>919</v>
      </c>
      <c r="B933" t="s">
        <v>7303</v>
      </c>
      <c r="C933" t="s">
        <v>2865</v>
      </c>
      <c r="D933" t="s">
        <v>2780</v>
      </c>
      <c r="E933" t="s">
        <v>2973</v>
      </c>
      <c r="F933" t="str">
        <f>"42/147"</f>
        <v>42/147</v>
      </c>
      <c r="G933" t="s">
        <v>7225</v>
      </c>
      <c r="H933" t="s">
        <v>4356</v>
      </c>
      <c r="I933">
        <v>28.92</v>
      </c>
    </row>
    <row r="934" spans="1:9" ht="12.75">
      <c r="A934">
        <v>920</v>
      </c>
      <c r="B934" t="s">
        <v>4357</v>
      </c>
      <c r="C934" t="s">
        <v>615</v>
      </c>
      <c r="D934" t="s">
        <v>2780</v>
      </c>
      <c r="E934" t="s">
        <v>2973</v>
      </c>
      <c r="F934" t="str">
        <f>"43/147"</f>
        <v>43/147</v>
      </c>
      <c r="G934" t="s">
        <v>4358</v>
      </c>
      <c r="H934" t="s">
        <v>4359</v>
      </c>
      <c r="I934">
        <v>28.92</v>
      </c>
    </row>
    <row r="935" spans="1:9" ht="12.75">
      <c r="A935">
        <v>921</v>
      </c>
      <c r="B935" t="s">
        <v>3967</v>
      </c>
      <c r="C935" t="s">
        <v>2966</v>
      </c>
      <c r="D935" t="s">
        <v>2780</v>
      </c>
      <c r="E935" t="s">
        <v>2823</v>
      </c>
      <c r="F935" t="str">
        <f>"357/668"</f>
        <v>357/668</v>
      </c>
      <c r="G935" t="s">
        <v>3715</v>
      </c>
      <c r="H935" t="s">
        <v>4360</v>
      </c>
      <c r="I935">
        <v>28.91</v>
      </c>
    </row>
    <row r="936" spans="1:9" ht="12.75">
      <c r="A936">
        <v>922</v>
      </c>
      <c r="B936" t="s">
        <v>4361</v>
      </c>
      <c r="C936" t="s">
        <v>2836</v>
      </c>
      <c r="D936" t="s">
        <v>2780</v>
      </c>
      <c r="E936" t="s">
        <v>2823</v>
      </c>
      <c r="F936" t="str">
        <f>"358/668"</f>
        <v>358/668</v>
      </c>
      <c r="G936" t="s">
        <v>4362</v>
      </c>
      <c r="H936" t="s">
        <v>4363</v>
      </c>
      <c r="I936">
        <v>28.9</v>
      </c>
    </row>
    <row r="937" spans="1:9" ht="12.75">
      <c r="A937">
        <v>923</v>
      </c>
      <c r="B937" t="s">
        <v>4364</v>
      </c>
      <c r="C937" t="s">
        <v>2814</v>
      </c>
      <c r="D937" t="s">
        <v>2780</v>
      </c>
      <c r="E937" t="s">
        <v>2823</v>
      </c>
      <c r="F937" t="str">
        <f>"359/668"</f>
        <v>359/668</v>
      </c>
      <c r="G937" t="s">
        <v>5166</v>
      </c>
      <c r="H937" t="s">
        <v>4365</v>
      </c>
      <c r="I937">
        <v>28.9</v>
      </c>
    </row>
    <row r="938" spans="1:9" ht="12.75">
      <c r="A938">
        <v>924</v>
      </c>
      <c r="B938" t="s">
        <v>4366</v>
      </c>
      <c r="C938" t="s">
        <v>2861</v>
      </c>
      <c r="D938" t="s">
        <v>2780</v>
      </c>
      <c r="E938" t="s">
        <v>2818</v>
      </c>
      <c r="F938" t="str">
        <f>"165/380"</f>
        <v>165/380</v>
      </c>
      <c r="G938" t="s">
        <v>57</v>
      </c>
      <c r="H938" t="s">
        <v>4367</v>
      </c>
      <c r="I938">
        <v>28.9</v>
      </c>
    </row>
    <row r="939" spans="1:9" ht="12.75">
      <c r="A939">
        <v>925</v>
      </c>
      <c r="B939" t="s">
        <v>7293</v>
      </c>
      <c r="C939" t="s">
        <v>3346</v>
      </c>
      <c r="D939" t="s">
        <v>2780</v>
      </c>
      <c r="E939" t="s">
        <v>2823</v>
      </c>
      <c r="F939" t="str">
        <f>"360/668"</f>
        <v>360/668</v>
      </c>
      <c r="G939" t="s">
        <v>1570</v>
      </c>
      <c r="H939" t="s">
        <v>4368</v>
      </c>
      <c r="I939">
        <v>28.9</v>
      </c>
    </row>
    <row r="940" spans="1:9" ht="12.75">
      <c r="A940">
        <v>926</v>
      </c>
      <c r="B940" t="s">
        <v>3378</v>
      </c>
      <c r="C940" t="s">
        <v>2081</v>
      </c>
      <c r="D940" t="s">
        <v>2780</v>
      </c>
      <c r="E940" t="s">
        <v>2823</v>
      </c>
      <c r="F940" t="str">
        <f>"361/668"</f>
        <v>361/668</v>
      </c>
      <c r="G940" t="s">
        <v>4369</v>
      </c>
      <c r="H940" t="s">
        <v>4370</v>
      </c>
      <c r="I940">
        <v>28.89</v>
      </c>
    </row>
    <row r="941" spans="1:9" ht="12.75">
      <c r="A941">
        <v>927</v>
      </c>
      <c r="B941" t="s">
        <v>4371</v>
      </c>
      <c r="C941" t="s">
        <v>4372</v>
      </c>
      <c r="D941" t="s">
        <v>2780</v>
      </c>
      <c r="E941" t="s">
        <v>2823</v>
      </c>
      <c r="F941" t="str">
        <f>"362/668"</f>
        <v>362/668</v>
      </c>
      <c r="G941" t="s">
        <v>4373</v>
      </c>
      <c r="H941" t="s">
        <v>4374</v>
      </c>
      <c r="I941">
        <v>28.88</v>
      </c>
    </row>
    <row r="942" spans="1:9" ht="12.75">
      <c r="A942">
        <v>928</v>
      </c>
      <c r="B942" t="s">
        <v>7324</v>
      </c>
      <c r="C942" t="s">
        <v>3283</v>
      </c>
      <c r="D942" t="s">
        <v>2780</v>
      </c>
      <c r="E942" t="s">
        <v>2781</v>
      </c>
      <c r="F942" t="str">
        <f>"217/354"</f>
        <v>217/354</v>
      </c>
      <c r="G942" t="s">
        <v>4375</v>
      </c>
      <c r="H942" t="s">
        <v>4376</v>
      </c>
      <c r="I942">
        <v>28.88</v>
      </c>
    </row>
    <row r="943" spans="1:9" ht="12.75">
      <c r="A943">
        <v>929</v>
      </c>
      <c r="B943" t="s">
        <v>2978</v>
      </c>
      <c r="C943" t="s">
        <v>4377</v>
      </c>
      <c r="D943" t="s">
        <v>3031</v>
      </c>
      <c r="E943" t="s">
        <v>3244</v>
      </c>
      <c r="F943" t="str">
        <f>"15/40"</f>
        <v>15/40</v>
      </c>
      <c r="G943" t="s">
        <v>1104</v>
      </c>
      <c r="H943" t="s">
        <v>4378</v>
      </c>
      <c r="I943">
        <v>28.88</v>
      </c>
    </row>
    <row r="944" spans="1:9" ht="12.75">
      <c r="A944">
        <v>930</v>
      </c>
      <c r="B944" t="s">
        <v>4986</v>
      </c>
      <c r="C944" t="s">
        <v>1633</v>
      </c>
      <c r="D944" t="s">
        <v>3031</v>
      </c>
      <c r="E944" t="s">
        <v>3244</v>
      </c>
      <c r="F944" t="str">
        <f>"16/40"</f>
        <v>16/40</v>
      </c>
      <c r="G944" t="s">
        <v>3252</v>
      </c>
      <c r="H944" t="s">
        <v>4379</v>
      </c>
      <c r="I944">
        <v>28.88</v>
      </c>
    </row>
    <row r="945" spans="1:9" ht="12.75">
      <c r="A945">
        <v>931</v>
      </c>
      <c r="B945" t="s">
        <v>4380</v>
      </c>
      <c r="C945" t="s">
        <v>2836</v>
      </c>
      <c r="D945" t="s">
        <v>2780</v>
      </c>
      <c r="E945" t="s">
        <v>2818</v>
      </c>
      <c r="F945" t="str">
        <f>"166/380"</f>
        <v>166/380</v>
      </c>
      <c r="G945" t="s">
        <v>7892</v>
      </c>
      <c r="H945" t="s">
        <v>4381</v>
      </c>
      <c r="I945">
        <v>28.88</v>
      </c>
    </row>
    <row r="946" spans="1:9" ht="12.75">
      <c r="A946">
        <v>932</v>
      </c>
      <c r="B946" t="s">
        <v>3900</v>
      </c>
      <c r="C946" t="s">
        <v>3760</v>
      </c>
      <c r="D946" t="s">
        <v>2780</v>
      </c>
      <c r="E946" t="s">
        <v>2818</v>
      </c>
      <c r="F946" t="str">
        <f>"167/380"</f>
        <v>167/380</v>
      </c>
      <c r="G946" t="s">
        <v>2889</v>
      </c>
      <c r="H946" t="s">
        <v>4382</v>
      </c>
      <c r="I946">
        <v>28.88</v>
      </c>
    </row>
    <row r="947" spans="1:9" ht="12.75">
      <c r="A947">
        <v>933</v>
      </c>
      <c r="B947" t="s">
        <v>4383</v>
      </c>
      <c r="C947" t="s">
        <v>842</v>
      </c>
      <c r="D947" t="s">
        <v>2780</v>
      </c>
      <c r="E947" t="s">
        <v>2823</v>
      </c>
      <c r="F947" t="str">
        <f>"363/668"</f>
        <v>363/668</v>
      </c>
      <c r="G947" t="s">
        <v>4384</v>
      </c>
      <c r="H947" t="s">
        <v>4385</v>
      </c>
      <c r="I947">
        <v>28.88</v>
      </c>
    </row>
    <row r="948" spans="1:9" ht="12.75">
      <c r="A948">
        <v>934</v>
      </c>
      <c r="B948" t="s">
        <v>4386</v>
      </c>
      <c r="C948" t="s">
        <v>2865</v>
      </c>
      <c r="D948" t="s">
        <v>2780</v>
      </c>
      <c r="E948" t="s">
        <v>2973</v>
      </c>
      <c r="F948" t="str">
        <f>"44/147"</f>
        <v>44/147</v>
      </c>
      <c r="G948" t="s">
        <v>5166</v>
      </c>
      <c r="H948" t="s">
        <v>4387</v>
      </c>
      <c r="I948">
        <v>28.88</v>
      </c>
    </row>
    <row r="949" spans="1:9" ht="12.75">
      <c r="A949">
        <v>935</v>
      </c>
      <c r="B949" t="s">
        <v>4388</v>
      </c>
      <c r="C949" t="s">
        <v>2857</v>
      </c>
      <c r="D949" t="s">
        <v>2780</v>
      </c>
      <c r="E949" t="s">
        <v>2823</v>
      </c>
      <c r="F949" t="str">
        <f>"364/668"</f>
        <v>364/668</v>
      </c>
      <c r="G949" t="s">
        <v>4389</v>
      </c>
      <c r="H949" t="s">
        <v>4390</v>
      </c>
      <c r="I949">
        <v>28.88</v>
      </c>
    </row>
    <row r="950" spans="1:9" ht="12.75">
      <c r="A950">
        <v>936</v>
      </c>
      <c r="B950" t="s">
        <v>4391</v>
      </c>
      <c r="C950" t="s">
        <v>633</v>
      </c>
      <c r="D950" t="s">
        <v>2780</v>
      </c>
      <c r="E950" t="s">
        <v>2818</v>
      </c>
      <c r="F950" t="str">
        <f>"168/380"</f>
        <v>168/380</v>
      </c>
      <c r="G950" t="s">
        <v>4392</v>
      </c>
      <c r="H950" t="s">
        <v>4393</v>
      </c>
      <c r="I950">
        <v>28.86</v>
      </c>
    </row>
    <row r="951" spans="1:9" ht="12.75">
      <c r="A951">
        <v>937</v>
      </c>
      <c r="B951" t="s">
        <v>4394</v>
      </c>
      <c r="C951" t="s">
        <v>2966</v>
      </c>
      <c r="D951" t="s">
        <v>2780</v>
      </c>
      <c r="E951" t="s">
        <v>2781</v>
      </c>
      <c r="F951" t="str">
        <f>"218/354"</f>
        <v>218/354</v>
      </c>
      <c r="G951" t="s">
        <v>2498</v>
      </c>
      <c r="H951" t="s">
        <v>4395</v>
      </c>
      <c r="I951">
        <v>28.85</v>
      </c>
    </row>
    <row r="952" spans="1:9" ht="12.75">
      <c r="A952">
        <v>938</v>
      </c>
      <c r="B952" t="s">
        <v>4047</v>
      </c>
      <c r="C952" t="s">
        <v>2868</v>
      </c>
      <c r="D952" t="s">
        <v>2780</v>
      </c>
      <c r="E952" t="s">
        <v>2781</v>
      </c>
      <c r="F952" t="str">
        <f>"219/354"</f>
        <v>219/354</v>
      </c>
      <c r="G952" t="s">
        <v>601</v>
      </c>
      <c r="H952" t="s">
        <v>4396</v>
      </c>
      <c r="I952">
        <v>28.85</v>
      </c>
    </row>
    <row r="953" spans="1:9" ht="12.75">
      <c r="A953">
        <v>939</v>
      </c>
      <c r="B953" t="s">
        <v>4397</v>
      </c>
      <c r="C953" t="s">
        <v>2931</v>
      </c>
      <c r="D953" t="s">
        <v>2780</v>
      </c>
      <c r="E953" t="s">
        <v>2781</v>
      </c>
      <c r="F953" t="str">
        <f>"220/354"</f>
        <v>220/354</v>
      </c>
      <c r="G953" t="s">
        <v>5486</v>
      </c>
      <c r="H953" t="s">
        <v>4398</v>
      </c>
      <c r="I953">
        <v>28.84</v>
      </c>
    </row>
    <row r="954" spans="1:9" ht="12.75">
      <c r="A954">
        <v>940</v>
      </c>
      <c r="B954" t="s">
        <v>4399</v>
      </c>
      <c r="C954" t="s">
        <v>3276</v>
      </c>
      <c r="D954" t="s">
        <v>2780</v>
      </c>
      <c r="E954" t="s">
        <v>2823</v>
      </c>
      <c r="F954" t="str">
        <f>"365/668"</f>
        <v>365/668</v>
      </c>
      <c r="G954" t="s">
        <v>3507</v>
      </c>
      <c r="H954" t="s">
        <v>4400</v>
      </c>
      <c r="I954">
        <v>28.84</v>
      </c>
    </row>
    <row r="955" spans="1:9" ht="12.75">
      <c r="A955">
        <v>941</v>
      </c>
      <c r="B955" t="s">
        <v>4401</v>
      </c>
      <c r="C955" t="s">
        <v>2861</v>
      </c>
      <c r="D955" t="s">
        <v>2780</v>
      </c>
      <c r="E955" t="s">
        <v>2781</v>
      </c>
      <c r="F955" t="str">
        <f>"221/354"</f>
        <v>221/354</v>
      </c>
      <c r="G955" t="s">
        <v>4402</v>
      </c>
      <c r="H955" t="s">
        <v>4403</v>
      </c>
      <c r="I955">
        <v>28.84</v>
      </c>
    </row>
    <row r="956" spans="1:9" ht="12.75">
      <c r="A956">
        <v>942</v>
      </c>
      <c r="B956" t="s">
        <v>4404</v>
      </c>
      <c r="C956" t="s">
        <v>2865</v>
      </c>
      <c r="D956" t="s">
        <v>2780</v>
      </c>
      <c r="E956" t="s">
        <v>2823</v>
      </c>
      <c r="F956" t="str">
        <f>"366/668"</f>
        <v>366/668</v>
      </c>
      <c r="G956" t="s">
        <v>3422</v>
      </c>
      <c r="H956" t="s">
        <v>4405</v>
      </c>
      <c r="I956">
        <v>28.83</v>
      </c>
    </row>
    <row r="957" spans="1:9" ht="12.75">
      <c r="A957">
        <v>943</v>
      </c>
      <c r="B957" t="s">
        <v>4406</v>
      </c>
      <c r="C957" t="s">
        <v>2857</v>
      </c>
      <c r="D957" t="s">
        <v>2780</v>
      </c>
      <c r="E957" t="s">
        <v>2823</v>
      </c>
      <c r="F957" t="str">
        <f>"367/668"</f>
        <v>367/668</v>
      </c>
      <c r="G957" t="s">
        <v>4066</v>
      </c>
      <c r="H957" t="s">
        <v>4407</v>
      </c>
      <c r="I957">
        <v>28.83</v>
      </c>
    </row>
    <row r="958" spans="1:9" ht="12.75">
      <c r="A958">
        <v>944</v>
      </c>
      <c r="B958" t="s">
        <v>4153</v>
      </c>
      <c r="C958" t="s">
        <v>3625</v>
      </c>
      <c r="D958" t="s">
        <v>2780</v>
      </c>
      <c r="E958" t="s">
        <v>2823</v>
      </c>
      <c r="F958" t="str">
        <f>"368/668"</f>
        <v>368/668</v>
      </c>
      <c r="G958" t="s">
        <v>2693</v>
      </c>
      <c r="H958" t="s">
        <v>4408</v>
      </c>
      <c r="I958">
        <v>28.82</v>
      </c>
    </row>
    <row r="959" spans="1:9" ht="12.75">
      <c r="A959">
        <v>945</v>
      </c>
      <c r="B959" t="s">
        <v>4409</v>
      </c>
      <c r="C959" t="s">
        <v>2966</v>
      </c>
      <c r="D959" t="s">
        <v>2780</v>
      </c>
      <c r="E959" t="s">
        <v>2818</v>
      </c>
      <c r="F959" t="str">
        <f>"169/380"</f>
        <v>169/380</v>
      </c>
      <c r="G959" t="s">
        <v>4410</v>
      </c>
      <c r="H959" t="s">
        <v>4411</v>
      </c>
      <c r="I959">
        <v>28.82</v>
      </c>
    </row>
    <row r="960" spans="1:9" ht="12.75">
      <c r="A960">
        <v>946</v>
      </c>
      <c r="B960" t="s">
        <v>4412</v>
      </c>
      <c r="C960" t="s">
        <v>3438</v>
      </c>
      <c r="D960" t="s">
        <v>2780</v>
      </c>
      <c r="E960" t="s">
        <v>2823</v>
      </c>
      <c r="F960" t="str">
        <f>"369/668"</f>
        <v>369/668</v>
      </c>
      <c r="G960" t="s">
        <v>4410</v>
      </c>
      <c r="H960" t="s">
        <v>4413</v>
      </c>
      <c r="I960">
        <v>28.81</v>
      </c>
    </row>
    <row r="961" spans="1:9" ht="12.75">
      <c r="A961">
        <v>947</v>
      </c>
      <c r="B961" t="s">
        <v>7433</v>
      </c>
      <c r="C961" t="s">
        <v>2840</v>
      </c>
      <c r="D961" t="s">
        <v>2780</v>
      </c>
      <c r="E961" t="s">
        <v>2823</v>
      </c>
      <c r="F961" t="str">
        <f>"370/668"</f>
        <v>370/668</v>
      </c>
      <c r="G961" t="s">
        <v>4414</v>
      </c>
      <c r="H961" t="s">
        <v>4415</v>
      </c>
      <c r="I961">
        <v>28.8</v>
      </c>
    </row>
    <row r="962" spans="1:9" ht="12.75">
      <c r="A962">
        <v>948</v>
      </c>
      <c r="B962" t="s">
        <v>3902</v>
      </c>
      <c r="C962" t="s">
        <v>2807</v>
      </c>
      <c r="D962" t="s">
        <v>2780</v>
      </c>
      <c r="E962" t="s">
        <v>2781</v>
      </c>
      <c r="F962" t="str">
        <f>"222/354"</f>
        <v>222/354</v>
      </c>
      <c r="G962" t="s">
        <v>4414</v>
      </c>
      <c r="H962" t="s">
        <v>4416</v>
      </c>
      <c r="I962">
        <v>28.8</v>
      </c>
    </row>
    <row r="963" spans="1:9" ht="12.75">
      <c r="A963">
        <v>949</v>
      </c>
      <c r="B963" t="s">
        <v>2702</v>
      </c>
      <c r="C963" t="s">
        <v>5044</v>
      </c>
      <c r="D963" t="s">
        <v>2780</v>
      </c>
      <c r="E963" t="s">
        <v>2973</v>
      </c>
      <c r="F963" t="str">
        <f>"45/147"</f>
        <v>45/147</v>
      </c>
      <c r="G963" t="s">
        <v>3338</v>
      </c>
      <c r="H963" t="s">
        <v>4417</v>
      </c>
      <c r="I963">
        <v>28.79</v>
      </c>
    </row>
    <row r="964" spans="1:9" ht="12.75">
      <c r="A964">
        <v>950</v>
      </c>
      <c r="B964" t="s">
        <v>4418</v>
      </c>
      <c r="C964" t="s">
        <v>2807</v>
      </c>
      <c r="D964" t="s">
        <v>2780</v>
      </c>
      <c r="E964" t="s">
        <v>2781</v>
      </c>
      <c r="F964" t="str">
        <f>"223/354"</f>
        <v>223/354</v>
      </c>
      <c r="G964" t="s">
        <v>3148</v>
      </c>
      <c r="H964" t="s">
        <v>4419</v>
      </c>
      <c r="I964">
        <v>28.78</v>
      </c>
    </row>
    <row r="965" spans="1:9" ht="12.75">
      <c r="A965">
        <v>951</v>
      </c>
      <c r="B965" t="s">
        <v>4420</v>
      </c>
      <c r="C965" t="s">
        <v>1583</v>
      </c>
      <c r="D965" t="s">
        <v>3031</v>
      </c>
      <c r="E965" t="s">
        <v>3032</v>
      </c>
      <c r="F965" t="str">
        <f>"12/25"</f>
        <v>12/25</v>
      </c>
      <c r="G965" t="s">
        <v>3363</v>
      </c>
      <c r="H965" t="s">
        <v>4421</v>
      </c>
      <c r="I965">
        <v>28.78</v>
      </c>
    </row>
    <row r="966" spans="1:9" ht="12.75">
      <c r="A966">
        <v>952</v>
      </c>
      <c r="B966" t="s">
        <v>4422</v>
      </c>
      <c r="C966" t="s">
        <v>2861</v>
      </c>
      <c r="D966" t="s">
        <v>2780</v>
      </c>
      <c r="E966" t="s">
        <v>2823</v>
      </c>
      <c r="F966" t="str">
        <f>"371/668"</f>
        <v>371/668</v>
      </c>
      <c r="G966" t="s">
        <v>2736</v>
      </c>
      <c r="H966" t="s">
        <v>4423</v>
      </c>
      <c r="I966">
        <v>28.78</v>
      </c>
    </row>
    <row r="967" spans="1:9" ht="12.75">
      <c r="A967">
        <v>953</v>
      </c>
      <c r="B967" t="s">
        <v>4424</v>
      </c>
      <c r="C967" t="s">
        <v>43</v>
      </c>
      <c r="D967" t="s">
        <v>2780</v>
      </c>
      <c r="E967" t="s">
        <v>2973</v>
      </c>
      <c r="F967" t="str">
        <f>"46/147"</f>
        <v>46/147</v>
      </c>
      <c r="G967" t="s">
        <v>4410</v>
      </c>
      <c r="H967" t="s">
        <v>4425</v>
      </c>
      <c r="I967">
        <v>28.77</v>
      </c>
    </row>
    <row r="968" spans="1:9" ht="12.75">
      <c r="A968">
        <v>954</v>
      </c>
      <c r="B968" t="s">
        <v>4426</v>
      </c>
      <c r="C968" t="s">
        <v>2807</v>
      </c>
      <c r="D968" t="s">
        <v>2780</v>
      </c>
      <c r="E968" t="s">
        <v>2823</v>
      </c>
      <c r="F968" t="str">
        <f>"372/668"</f>
        <v>372/668</v>
      </c>
      <c r="G968" t="s">
        <v>4427</v>
      </c>
      <c r="H968" t="s">
        <v>4428</v>
      </c>
      <c r="I968">
        <v>28.77</v>
      </c>
    </row>
    <row r="969" spans="1:9" ht="12.75">
      <c r="A969">
        <v>955</v>
      </c>
      <c r="B969" t="s">
        <v>4429</v>
      </c>
      <c r="C969" t="s">
        <v>2857</v>
      </c>
      <c r="D969" t="s">
        <v>2780</v>
      </c>
      <c r="E969" t="s">
        <v>2818</v>
      </c>
      <c r="F969" t="str">
        <f>"170/380"</f>
        <v>170/380</v>
      </c>
      <c r="G969" t="s">
        <v>4430</v>
      </c>
      <c r="H969" t="s">
        <v>4431</v>
      </c>
      <c r="I969">
        <v>28.76</v>
      </c>
    </row>
    <row r="970" spans="1:9" ht="12.75">
      <c r="A970">
        <v>956</v>
      </c>
      <c r="B970" t="s">
        <v>7598</v>
      </c>
      <c r="C970" t="s">
        <v>353</v>
      </c>
      <c r="D970" t="s">
        <v>2780</v>
      </c>
      <c r="E970" t="s">
        <v>2818</v>
      </c>
      <c r="F970" t="str">
        <f>"171/380"</f>
        <v>171/380</v>
      </c>
      <c r="G970" t="s">
        <v>4432</v>
      </c>
      <c r="H970" t="s">
        <v>4433</v>
      </c>
      <c r="I970">
        <v>28.76</v>
      </c>
    </row>
    <row r="971" spans="1:9" ht="12.75">
      <c r="A971">
        <v>957</v>
      </c>
      <c r="B971" t="s">
        <v>4434</v>
      </c>
      <c r="C971" t="s">
        <v>504</v>
      </c>
      <c r="D971" t="s">
        <v>2780</v>
      </c>
      <c r="E971" t="s">
        <v>2781</v>
      </c>
      <c r="F971" t="str">
        <f>"224/354"</f>
        <v>224/354</v>
      </c>
      <c r="G971" t="s">
        <v>2252</v>
      </c>
      <c r="H971" t="s">
        <v>4435</v>
      </c>
      <c r="I971">
        <v>28.75</v>
      </c>
    </row>
    <row r="972" spans="1:9" ht="12.75">
      <c r="A972">
        <v>958</v>
      </c>
      <c r="B972" t="s">
        <v>4436</v>
      </c>
      <c r="C972" t="s">
        <v>4437</v>
      </c>
      <c r="D972" t="s">
        <v>2780</v>
      </c>
      <c r="E972" t="s">
        <v>2818</v>
      </c>
      <c r="F972" t="str">
        <f>"172/380"</f>
        <v>172/380</v>
      </c>
      <c r="G972" t="s">
        <v>3289</v>
      </c>
      <c r="H972" t="s">
        <v>4438</v>
      </c>
      <c r="I972">
        <v>28.74</v>
      </c>
    </row>
    <row r="973" spans="1:9" ht="12.75">
      <c r="A973">
        <v>959</v>
      </c>
      <c r="B973" t="s">
        <v>3819</v>
      </c>
      <c r="C973" t="s">
        <v>2810</v>
      </c>
      <c r="D973" t="s">
        <v>2780</v>
      </c>
      <c r="E973" t="s">
        <v>2799</v>
      </c>
      <c r="F973" t="str">
        <f>"64/100"</f>
        <v>64/100</v>
      </c>
      <c r="G973" t="s">
        <v>1187</v>
      </c>
      <c r="H973" t="s">
        <v>4439</v>
      </c>
      <c r="I973">
        <v>28.74</v>
      </c>
    </row>
    <row r="974" spans="1:9" ht="12.75">
      <c r="A974">
        <v>960</v>
      </c>
      <c r="B974" t="s">
        <v>4440</v>
      </c>
      <c r="C974" t="s">
        <v>2785</v>
      </c>
      <c r="D974" t="s">
        <v>2780</v>
      </c>
      <c r="E974" t="s">
        <v>2823</v>
      </c>
      <c r="F974" t="str">
        <f>"373/668"</f>
        <v>373/668</v>
      </c>
      <c r="G974" t="s">
        <v>3289</v>
      </c>
      <c r="H974" t="s">
        <v>4441</v>
      </c>
      <c r="I974">
        <v>28.74</v>
      </c>
    </row>
    <row r="975" spans="1:9" ht="12.75">
      <c r="A975">
        <v>961</v>
      </c>
      <c r="B975" t="s">
        <v>2174</v>
      </c>
      <c r="C975" t="s">
        <v>3114</v>
      </c>
      <c r="D975" t="s">
        <v>2780</v>
      </c>
      <c r="E975" t="s">
        <v>2823</v>
      </c>
      <c r="F975" t="str">
        <f>"374/668"</f>
        <v>374/668</v>
      </c>
      <c r="G975" t="s">
        <v>7087</v>
      </c>
      <c r="H975" t="s">
        <v>4442</v>
      </c>
      <c r="I975">
        <v>28.73</v>
      </c>
    </row>
    <row r="976" spans="1:9" ht="12.75">
      <c r="A976">
        <v>962</v>
      </c>
      <c r="B976" t="s">
        <v>4443</v>
      </c>
      <c r="C976" t="s">
        <v>4444</v>
      </c>
      <c r="D976" t="s">
        <v>3031</v>
      </c>
      <c r="E976" t="s">
        <v>3032</v>
      </c>
      <c r="F976" t="str">
        <f>"13/25"</f>
        <v>13/25</v>
      </c>
      <c r="G976" t="s">
        <v>85</v>
      </c>
      <c r="H976" t="s">
        <v>4445</v>
      </c>
      <c r="I976">
        <v>28.73</v>
      </c>
    </row>
    <row r="977" spans="1:9" ht="12.75">
      <c r="A977">
        <v>963</v>
      </c>
      <c r="B977" t="s">
        <v>4446</v>
      </c>
      <c r="C977" t="s">
        <v>4894</v>
      </c>
      <c r="D977" t="s">
        <v>2780</v>
      </c>
      <c r="E977" t="s">
        <v>2973</v>
      </c>
      <c r="F977" t="str">
        <f>"47/147"</f>
        <v>47/147</v>
      </c>
      <c r="G977" t="s">
        <v>7011</v>
      </c>
      <c r="H977" t="s">
        <v>4447</v>
      </c>
      <c r="I977">
        <v>28.72</v>
      </c>
    </row>
    <row r="978" spans="1:9" ht="12.75">
      <c r="A978">
        <v>964</v>
      </c>
      <c r="B978" t="s">
        <v>4448</v>
      </c>
      <c r="C978" t="s">
        <v>3633</v>
      </c>
      <c r="D978" t="s">
        <v>2780</v>
      </c>
      <c r="E978" t="s">
        <v>2781</v>
      </c>
      <c r="F978" t="str">
        <f>"225/354"</f>
        <v>225/354</v>
      </c>
      <c r="G978" t="s">
        <v>5436</v>
      </c>
      <c r="H978" t="s">
        <v>4449</v>
      </c>
      <c r="I978">
        <v>28.71</v>
      </c>
    </row>
    <row r="979" spans="1:9" ht="12.75">
      <c r="A979">
        <v>965</v>
      </c>
      <c r="B979" t="s">
        <v>4450</v>
      </c>
      <c r="C979" t="s">
        <v>2963</v>
      </c>
      <c r="D979" t="s">
        <v>2780</v>
      </c>
      <c r="E979" t="s">
        <v>2823</v>
      </c>
      <c r="F979" t="str">
        <f>"375/668"</f>
        <v>375/668</v>
      </c>
      <c r="G979" t="s">
        <v>3577</v>
      </c>
      <c r="H979" t="s">
        <v>4451</v>
      </c>
      <c r="I979">
        <v>28.71</v>
      </c>
    </row>
    <row r="980" spans="1:9" ht="12.75">
      <c r="A980">
        <v>966</v>
      </c>
      <c r="B980" t="s">
        <v>4452</v>
      </c>
      <c r="C980" t="s">
        <v>4453</v>
      </c>
      <c r="D980" t="s">
        <v>2780</v>
      </c>
      <c r="E980" t="s">
        <v>2786</v>
      </c>
      <c r="F980" t="str">
        <f>"32/44"</f>
        <v>32/44</v>
      </c>
      <c r="G980" t="s">
        <v>4454</v>
      </c>
      <c r="H980" t="s">
        <v>4455</v>
      </c>
      <c r="I980">
        <v>28.71</v>
      </c>
    </row>
    <row r="981" spans="1:9" ht="12.75">
      <c r="A981">
        <v>967</v>
      </c>
      <c r="B981" t="s">
        <v>4456</v>
      </c>
      <c r="C981" t="s">
        <v>54</v>
      </c>
      <c r="D981" t="s">
        <v>2780</v>
      </c>
      <c r="E981" t="s">
        <v>2781</v>
      </c>
      <c r="F981" t="str">
        <f>"226/354"</f>
        <v>226/354</v>
      </c>
      <c r="G981" t="s">
        <v>4457</v>
      </c>
      <c r="H981" t="s">
        <v>4458</v>
      </c>
      <c r="I981">
        <v>28.71</v>
      </c>
    </row>
    <row r="982" spans="1:9" ht="12.75">
      <c r="A982">
        <v>968</v>
      </c>
      <c r="B982" t="s">
        <v>4459</v>
      </c>
      <c r="C982" t="s">
        <v>2836</v>
      </c>
      <c r="D982" t="s">
        <v>2780</v>
      </c>
      <c r="E982" t="s">
        <v>2973</v>
      </c>
      <c r="F982" t="str">
        <f>"48/147"</f>
        <v>48/147</v>
      </c>
      <c r="G982" t="s">
        <v>4460</v>
      </c>
      <c r="H982" t="s">
        <v>4461</v>
      </c>
      <c r="I982">
        <v>28.7</v>
      </c>
    </row>
    <row r="983" spans="1:9" ht="12.75">
      <c r="A983">
        <v>969</v>
      </c>
      <c r="B983" t="s">
        <v>5097</v>
      </c>
      <c r="C983" t="s">
        <v>3141</v>
      </c>
      <c r="D983" t="s">
        <v>2780</v>
      </c>
      <c r="E983" t="s">
        <v>2823</v>
      </c>
      <c r="F983" t="str">
        <f>"376/668"</f>
        <v>376/668</v>
      </c>
      <c r="G983" t="s">
        <v>3148</v>
      </c>
      <c r="H983" t="s">
        <v>4462</v>
      </c>
      <c r="I983">
        <v>28.7</v>
      </c>
    </row>
    <row r="984" spans="1:9" ht="12.75">
      <c r="A984">
        <v>970</v>
      </c>
      <c r="B984" t="s">
        <v>4463</v>
      </c>
      <c r="C984" t="s">
        <v>3201</v>
      </c>
      <c r="D984" t="s">
        <v>2780</v>
      </c>
      <c r="E984" t="s">
        <v>2781</v>
      </c>
      <c r="F984" t="str">
        <f>"227/354"</f>
        <v>227/354</v>
      </c>
      <c r="G984" t="s">
        <v>7765</v>
      </c>
      <c r="H984" t="s">
        <v>4464</v>
      </c>
      <c r="I984">
        <v>28.69</v>
      </c>
    </row>
    <row r="985" spans="1:9" ht="12.75">
      <c r="A985">
        <v>971</v>
      </c>
      <c r="B985" t="s">
        <v>4446</v>
      </c>
      <c r="C985" t="s">
        <v>2861</v>
      </c>
      <c r="D985" t="s">
        <v>2780</v>
      </c>
      <c r="E985" t="s">
        <v>2823</v>
      </c>
      <c r="F985" t="str">
        <f>"377/668"</f>
        <v>377/668</v>
      </c>
      <c r="G985" t="s">
        <v>7011</v>
      </c>
      <c r="H985" t="s">
        <v>4465</v>
      </c>
      <c r="I985">
        <v>28.69</v>
      </c>
    </row>
    <row r="986" spans="1:9" ht="12.75">
      <c r="A986">
        <v>972</v>
      </c>
      <c r="B986" t="s">
        <v>3062</v>
      </c>
      <c r="C986" t="s">
        <v>3633</v>
      </c>
      <c r="D986" t="s">
        <v>2780</v>
      </c>
      <c r="E986" t="s">
        <v>2781</v>
      </c>
      <c r="F986" t="str">
        <f>"228/354"</f>
        <v>228/354</v>
      </c>
      <c r="G986" t="s">
        <v>1187</v>
      </c>
      <c r="H986" t="s">
        <v>4466</v>
      </c>
      <c r="I986">
        <v>28.68</v>
      </c>
    </row>
    <row r="987" spans="1:9" ht="12.75">
      <c r="A987">
        <v>973</v>
      </c>
      <c r="B987" t="s">
        <v>4467</v>
      </c>
      <c r="C987" t="s">
        <v>4468</v>
      </c>
      <c r="D987" t="s">
        <v>2780</v>
      </c>
      <c r="E987" t="s">
        <v>2818</v>
      </c>
      <c r="F987" t="str">
        <f>"173/380"</f>
        <v>173/380</v>
      </c>
      <c r="G987" t="s">
        <v>4469</v>
      </c>
      <c r="H987" t="s">
        <v>4470</v>
      </c>
      <c r="I987">
        <v>28.66</v>
      </c>
    </row>
    <row r="988" spans="1:9" ht="12.75">
      <c r="A988">
        <v>974</v>
      </c>
      <c r="B988" t="s">
        <v>4471</v>
      </c>
      <c r="C988" t="s">
        <v>2830</v>
      </c>
      <c r="D988" t="s">
        <v>2780</v>
      </c>
      <c r="E988" t="s">
        <v>2781</v>
      </c>
      <c r="F988" t="str">
        <f>"229/354"</f>
        <v>229/354</v>
      </c>
      <c r="G988" t="s">
        <v>7419</v>
      </c>
      <c r="H988" t="s">
        <v>4472</v>
      </c>
      <c r="I988">
        <v>28.65</v>
      </c>
    </row>
    <row r="989" spans="1:9" ht="12.75">
      <c r="A989">
        <v>975</v>
      </c>
      <c r="B989" t="s">
        <v>4473</v>
      </c>
      <c r="C989" t="s">
        <v>3417</v>
      </c>
      <c r="D989" t="s">
        <v>2780</v>
      </c>
      <c r="E989" t="s">
        <v>2973</v>
      </c>
      <c r="F989" t="str">
        <f>"49/147"</f>
        <v>49/147</v>
      </c>
      <c r="G989" t="s">
        <v>4951</v>
      </c>
      <c r="H989" t="s">
        <v>4472</v>
      </c>
      <c r="I989">
        <v>28.65</v>
      </c>
    </row>
    <row r="990" spans="1:9" ht="12.75">
      <c r="A990">
        <v>976</v>
      </c>
      <c r="B990" t="s">
        <v>4474</v>
      </c>
      <c r="C990" t="s">
        <v>2830</v>
      </c>
      <c r="D990" t="s">
        <v>2780</v>
      </c>
      <c r="E990" t="s">
        <v>2823</v>
      </c>
      <c r="F990" t="str">
        <f>"378/668"</f>
        <v>378/668</v>
      </c>
      <c r="G990" t="s">
        <v>2008</v>
      </c>
      <c r="H990" t="s">
        <v>4475</v>
      </c>
      <c r="I990">
        <v>28.64</v>
      </c>
    </row>
    <row r="991" spans="1:9" ht="12.75">
      <c r="A991">
        <v>977</v>
      </c>
      <c r="B991" t="s">
        <v>4476</v>
      </c>
      <c r="C991" t="s">
        <v>2807</v>
      </c>
      <c r="D991" t="s">
        <v>2780</v>
      </c>
      <c r="E991" t="s">
        <v>2823</v>
      </c>
      <c r="F991" t="str">
        <f>"379/668"</f>
        <v>379/668</v>
      </c>
      <c r="G991" t="s">
        <v>4477</v>
      </c>
      <c r="H991" t="s">
        <v>4478</v>
      </c>
      <c r="I991">
        <v>28.63</v>
      </c>
    </row>
    <row r="992" spans="1:9" ht="12.75">
      <c r="A992">
        <v>978</v>
      </c>
      <c r="B992" t="s">
        <v>3999</v>
      </c>
      <c r="C992" t="s">
        <v>2956</v>
      </c>
      <c r="D992" t="s">
        <v>2780</v>
      </c>
      <c r="E992" t="s">
        <v>2823</v>
      </c>
      <c r="F992" t="str">
        <f>"380/668"</f>
        <v>380/668</v>
      </c>
      <c r="G992" t="s">
        <v>4479</v>
      </c>
      <c r="H992" t="s">
        <v>4480</v>
      </c>
      <c r="I992">
        <v>28.63</v>
      </c>
    </row>
    <row r="993" spans="1:9" ht="12.75">
      <c r="A993">
        <v>979</v>
      </c>
      <c r="B993" t="s">
        <v>3191</v>
      </c>
      <c r="C993" t="s">
        <v>3594</v>
      </c>
      <c r="D993" t="s">
        <v>2780</v>
      </c>
      <c r="E993" t="s">
        <v>2823</v>
      </c>
      <c r="F993" t="str">
        <f>"381/668"</f>
        <v>381/668</v>
      </c>
      <c r="G993" t="s">
        <v>566</v>
      </c>
      <c r="H993" t="s">
        <v>4481</v>
      </c>
      <c r="I993">
        <v>28.61</v>
      </c>
    </row>
    <row r="994" spans="1:9" ht="12.75">
      <c r="A994">
        <v>980</v>
      </c>
      <c r="B994" t="s">
        <v>4482</v>
      </c>
      <c r="C994" t="s">
        <v>2942</v>
      </c>
      <c r="D994" t="s">
        <v>2780</v>
      </c>
      <c r="E994" t="s">
        <v>2818</v>
      </c>
      <c r="F994" t="str">
        <f>"174/380"</f>
        <v>174/380</v>
      </c>
      <c r="G994" t="s">
        <v>4483</v>
      </c>
      <c r="H994" t="s">
        <v>4484</v>
      </c>
      <c r="I994">
        <v>28.6</v>
      </c>
    </row>
    <row r="995" spans="1:9" ht="12.75">
      <c r="A995">
        <v>981</v>
      </c>
      <c r="B995" t="s">
        <v>4485</v>
      </c>
      <c r="C995" t="s">
        <v>2902</v>
      </c>
      <c r="D995" t="s">
        <v>2780</v>
      </c>
      <c r="E995" t="s">
        <v>2781</v>
      </c>
      <c r="F995" t="str">
        <f>"230/354"</f>
        <v>230/354</v>
      </c>
      <c r="G995" t="s">
        <v>4486</v>
      </c>
      <c r="H995" t="s">
        <v>4487</v>
      </c>
      <c r="I995">
        <v>28.6</v>
      </c>
    </row>
    <row r="996" spans="1:9" ht="12.75">
      <c r="A996">
        <v>982</v>
      </c>
      <c r="B996" t="s">
        <v>4488</v>
      </c>
      <c r="C996" t="s">
        <v>2861</v>
      </c>
      <c r="D996" t="s">
        <v>2780</v>
      </c>
      <c r="E996" t="s">
        <v>2818</v>
      </c>
      <c r="F996" t="str">
        <f>"175/380"</f>
        <v>175/380</v>
      </c>
      <c r="G996" t="s">
        <v>5376</v>
      </c>
      <c r="H996" t="s">
        <v>4489</v>
      </c>
      <c r="I996">
        <v>28.59</v>
      </c>
    </row>
    <row r="997" spans="1:9" ht="12.75">
      <c r="A997">
        <v>983</v>
      </c>
      <c r="B997" t="s">
        <v>4490</v>
      </c>
      <c r="C997" t="s">
        <v>2779</v>
      </c>
      <c r="D997" t="s">
        <v>2780</v>
      </c>
      <c r="E997" t="s">
        <v>2781</v>
      </c>
      <c r="F997" t="str">
        <f>"231/354"</f>
        <v>231/354</v>
      </c>
      <c r="G997" t="s">
        <v>4491</v>
      </c>
      <c r="H997" t="s">
        <v>4492</v>
      </c>
      <c r="I997">
        <v>28.59</v>
      </c>
    </row>
    <row r="998" spans="1:9" ht="12.75">
      <c r="A998">
        <v>984</v>
      </c>
      <c r="B998" t="s">
        <v>4493</v>
      </c>
      <c r="C998" t="s">
        <v>84</v>
      </c>
      <c r="D998" t="s">
        <v>2780</v>
      </c>
      <c r="E998" t="s">
        <v>2781</v>
      </c>
      <c r="F998" t="str">
        <f>"232/354"</f>
        <v>232/354</v>
      </c>
      <c r="G998" t="s">
        <v>5433</v>
      </c>
      <c r="H998" t="s">
        <v>4494</v>
      </c>
      <c r="I998">
        <v>28.59</v>
      </c>
    </row>
    <row r="999" spans="1:9" ht="12.75">
      <c r="A999">
        <v>985</v>
      </c>
      <c r="B999" t="s">
        <v>7076</v>
      </c>
      <c r="C999" t="s">
        <v>3057</v>
      </c>
      <c r="D999" t="s">
        <v>2780</v>
      </c>
      <c r="E999" t="s">
        <v>2818</v>
      </c>
      <c r="F999" t="str">
        <f>"176/380"</f>
        <v>176/380</v>
      </c>
      <c r="G999" t="s">
        <v>5433</v>
      </c>
      <c r="H999" t="s">
        <v>4495</v>
      </c>
      <c r="I999">
        <v>28.59</v>
      </c>
    </row>
    <row r="1000" spans="1:9" ht="12.75">
      <c r="A1000">
        <v>986</v>
      </c>
      <c r="B1000" t="s">
        <v>4490</v>
      </c>
      <c r="C1000" t="s">
        <v>2895</v>
      </c>
      <c r="D1000" t="s">
        <v>2780</v>
      </c>
      <c r="E1000" t="s">
        <v>2781</v>
      </c>
      <c r="F1000" t="str">
        <f>"233/354"</f>
        <v>233/354</v>
      </c>
      <c r="G1000" t="s">
        <v>4496</v>
      </c>
      <c r="H1000" t="s">
        <v>4497</v>
      </c>
      <c r="I1000">
        <v>28.59</v>
      </c>
    </row>
    <row r="1001" spans="1:9" ht="12.75">
      <c r="A1001">
        <v>987</v>
      </c>
      <c r="B1001" t="s">
        <v>4498</v>
      </c>
      <c r="C1001" t="s">
        <v>2807</v>
      </c>
      <c r="D1001" t="s">
        <v>2780</v>
      </c>
      <c r="E1001" t="s">
        <v>2823</v>
      </c>
      <c r="F1001" t="str">
        <f>"382/668"</f>
        <v>382/668</v>
      </c>
      <c r="G1001" t="s">
        <v>4499</v>
      </c>
      <c r="H1001" t="s">
        <v>4500</v>
      </c>
      <c r="I1001">
        <v>28.58</v>
      </c>
    </row>
    <row r="1002" spans="1:9" ht="12.75">
      <c r="A1002">
        <v>988</v>
      </c>
      <c r="B1002" t="s">
        <v>4501</v>
      </c>
      <c r="C1002" t="s">
        <v>1649</v>
      </c>
      <c r="D1002" t="s">
        <v>3031</v>
      </c>
      <c r="E1002" t="s">
        <v>3032</v>
      </c>
      <c r="F1002" t="str">
        <f>"14/25"</f>
        <v>14/25</v>
      </c>
      <c r="G1002" t="s">
        <v>4502</v>
      </c>
      <c r="H1002" t="s">
        <v>4503</v>
      </c>
      <c r="I1002">
        <v>28.58</v>
      </c>
    </row>
    <row r="1003" spans="1:9" ht="12.75">
      <c r="A1003">
        <v>989</v>
      </c>
      <c r="B1003" t="s">
        <v>4504</v>
      </c>
      <c r="C1003" t="s">
        <v>2836</v>
      </c>
      <c r="D1003" t="s">
        <v>2780</v>
      </c>
      <c r="E1003" t="s">
        <v>2973</v>
      </c>
      <c r="F1003" t="str">
        <f>"50/147"</f>
        <v>50/147</v>
      </c>
      <c r="G1003" t="s">
        <v>5590</v>
      </c>
      <c r="H1003" t="s">
        <v>4505</v>
      </c>
      <c r="I1003">
        <v>28.58</v>
      </c>
    </row>
    <row r="1004" spans="1:9" ht="12.75">
      <c r="A1004">
        <v>990</v>
      </c>
      <c r="B1004" t="s">
        <v>398</v>
      </c>
      <c r="C1004" t="s">
        <v>4932</v>
      </c>
      <c r="D1004" t="s">
        <v>2780</v>
      </c>
      <c r="E1004" t="s">
        <v>2823</v>
      </c>
      <c r="F1004" t="str">
        <f>"383/668"</f>
        <v>383/668</v>
      </c>
      <c r="G1004" t="s">
        <v>3261</v>
      </c>
      <c r="H1004" t="s">
        <v>4506</v>
      </c>
      <c r="I1004">
        <v>28.58</v>
      </c>
    </row>
    <row r="1005" spans="1:9" ht="12.75">
      <c r="A1005">
        <v>991</v>
      </c>
      <c r="B1005" t="s">
        <v>4507</v>
      </c>
      <c r="C1005" t="s">
        <v>54</v>
      </c>
      <c r="D1005" t="s">
        <v>2780</v>
      </c>
      <c r="E1005" t="s">
        <v>2973</v>
      </c>
      <c r="F1005" t="str">
        <f>"51/147"</f>
        <v>51/147</v>
      </c>
      <c r="G1005" t="s">
        <v>5376</v>
      </c>
      <c r="H1005" t="s">
        <v>4508</v>
      </c>
      <c r="I1005">
        <v>28.57</v>
      </c>
    </row>
    <row r="1006" spans="1:9" ht="12.75">
      <c r="A1006">
        <v>992</v>
      </c>
      <c r="B1006" t="s">
        <v>5238</v>
      </c>
      <c r="C1006" t="s">
        <v>2305</v>
      </c>
      <c r="D1006" t="s">
        <v>2780</v>
      </c>
      <c r="E1006" t="s">
        <v>2823</v>
      </c>
      <c r="F1006" t="str">
        <f>"384/668"</f>
        <v>384/668</v>
      </c>
      <c r="G1006" t="s">
        <v>2306</v>
      </c>
      <c r="H1006" t="s">
        <v>4509</v>
      </c>
      <c r="I1006">
        <v>28.57</v>
      </c>
    </row>
    <row r="1007" spans="1:9" ht="12.75">
      <c r="A1007">
        <v>993</v>
      </c>
      <c r="B1007" t="s">
        <v>4510</v>
      </c>
      <c r="C1007" t="s">
        <v>341</v>
      </c>
      <c r="D1007" t="s">
        <v>2780</v>
      </c>
      <c r="E1007" t="s">
        <v>2823</v>
      </c>
      <c r="F1007" t="str">
        <f>"385/668"</f>
        <v>385/668</v>
      </c>
      <c r="G1007" t="s">
        <v>85</v>
      </c>
      <c r="H1007" t="s">
        <v>4511</v>
      </c>
      <c r="I1007">
        <v>28.57</v>
      </c>
    </row>
    <row r="1008" spans="1:9" ht="12.75">
      <c r="A1008">
        <v>994</v>
      </c>
      <c r="B1008" t="s">
        <v>4512</v>
      </c>
      <c r="C1008" t="s">
        <v>3057</v>
      </c>
      <c r="D1008" t="s">
        <v>2780</v>
      </c>
      <c r="E1008" t="s">
        <v>2818</v>
      </c>
      <c r="F1008" t="str">
        <f>"177/380"</f>
        <v>177/380</v>
      </c>
      <c r="G1008" t="s">
        <v>3206</v>
      </c>
      <c r="H1008" t="s">
        <v>4513</v>
      </c>
      <c r="I1008">
        <v>28.56</v>
      </c>
    </row>
    <row r="1009" spans="1:9" ht="12.75">
      <c r="A1009">
        <v>995</v>
      </c>
      <c r="B1009" t="s">
        <v>4514</v>
      </c>
      <c r="C1009" t="s">
        <v>2857</v>
      </c>
      <c r="D1009" t="s">
        <v>2780</v>
      </c>
      <c r="E1009" t="s">
        <v>2818</v>
      </c>
      <c r="F1009" t="str">
        <f>"178/380"</f>
        <v>178/380</v>
      </c>
      <c r="G1009" t="s">
        <v>4515</v>
      </c>
      <c r="H1009" t="s">
        <v>4516</v>
      </c>
      <c r="I1009">
        <v>28.56</v>
      </c>
    </row>
    <row r="1010" spans="1:9" ht="12.75">
      <c r="A1010">
        <v>996</v>
      </c>
      <c r="B1010" t="s">
        <v>4517</v>
      </c>
      <c r="C1010" t="s">
        <v>7540</v>
      </c>
      <c r="D1010" t="s">
        <v>2780</v>
      </c>
      <c r="E1010" t="s">
        <v>2823</v>
      </c>
      <c r="F1010" t="str">
        <f>"386/668"</f>
        <v>386/668</v>
      </c>
      <c r="G1010" t="s">
        <v>3144</v>
      </c>
      <c r="H1010" t="s">
        <v>4518</v>
      </c>
      <c r="I1010">
        <v>28.55</v>
      </c>
    </row>
    <row r="1011" spans="1:9" ht="12.75">
      <c r="A1011">
        <v>997</v>
      </c>
      <c r="B1011" t="s">
        <v>4519</v>
      </c>
      <c r="C1011" t="s">
        <v>3417</v>
      </c>
      <c r="D1011" t="s">
        <v>2780</v>
      </c>
      <c r="E1011" t="s">
        <v>2823</v>
      </c>
      <c r="F1011" t="str">
        <f>"387/668"</f>
        <v>387/668</v>
      </c>
      <c r="G1011" t="s">
        <v>3144</v>
      </c>
      <c r="H1011" t="s">
        <v>4520</v>
      </c>
      <c r="I1011">
        <v>28.54</v>
      </c>
    </row>
    <row r="1012" spans="1:9" ht="12.75">
      <c r="A1012">
        <v>998</v>
      </c>
      <c r="B1012" t="s">
        <v>4521</v>
      </c>
      <c r="C1012" t="s">
        <v>1885</v>
      </c>
      <c r="D1012" t="s">
        <v>2780</v>
      </c>
      <c r="E1012" t="s">
        <v>2781</v>
      </c>
      <c r="F1012" t="str">
        <f>"234/354"</f>
        <v>234/354</v>
      </c>
      <c r="G1012" t="s">
        <v>1754</v>
      </c>
      <c r="H1012" t="s">
        <v>4522</v>
      </c>
      <c r="I1012">
        <v>28.54</v>
      </c>
    </row>
    <row r="1013" spans="1:9" ht="12.75">
      <c r="A1013">
        <v>999</v>
      </c>
      <c r="B1013" t="s">
        <v>4523</v>
      </c>
      <c r="C1013" t="s">
        <v>2857</v>
      </c>
      <c r="D1013" t="s">
        <v>2780</v>
      </c>
      <c r="E1013" t="s">
        <v>2823</v>
      </c>
      <c r="F1013" t="str">
        <f>"388/668"</f>
        <v>388/668</v>
      </c>
      <c r="G1013" t="s">
        <v>3261</v>
      </c>
      <c r="H1013" t="s">
        <v>4524</v>
      </c>
      <c r="I1013">
        <v>28.53</v>
      </c>
    </row>
    <row r="1014" spans="1:9" ht="12.75">
      <c r="A1014">
        <v>1000</v>
      </c>
      <c r="B1014" t="s">
        <v>7460</v>
      </c>
      <c r="C1014" t="s">
        <v>4894</v>
      </c>
      <c r="D1014" t="s">
        <v>2780</v>
      </c>
      <c r="E1014" t="s">
        <v>2823</v>
      </c>
      <c r="F1014" t="str">
        <f>"389/668"</f>
        <v>389/668</v>
      </c>
      <c r="G1014" t="s">
        <v>4525</v>
      </c>
      <c r="H1014" t="s">
        <v>4526</v>
      </c>
      <c r="I1014">
        <v>28.53</v>
      </c>
    </row>
    <row r="1015" spans="1:9" ht="12.75">
      <c r="A1015">
        <v>1001</v>
      </c>
      <c r="B1015" t="s">
        <v>4527</v>
      </c>
      <c r="C1015" t="s">
        <v>4528</v>
      </c>
      <c r="D1015" t="s">
        <v>2780</v>
      </c>
      <c r="E1015" t="s">
        <v>2823</v>
      </c>
      <c r="F1015" t="str">
        <f>"390/668"</f>
        <v>390/668</v>
      </c>
      <c r="G1015" t="s">
        <v>2917</v>
      </c>
      <c r="H1015" t="s">
        <v>4529</v>
      </c>
      <c r="I1015">
        <v>28.52</v>
      </c>
    </row>
    <row r="1016" spans="1:9" ht="12.75">
      <c r="A1016">
        <v>1002</v>
      </c>
      <c r="B1016" t="s">
        <v>4530</v>
      </c>
      <c r="C1016" t="s">
        <v>4531</v>
      </c>
      <c r="D1016" t="s">
        <v>2780</v>
      </c>
      <c r="E1016" t="s">
        <v>2818</v>
      </c>
      <c r="F1016" t="str">
        <f>"179/380"</f>
        <v>179/380</v>
      </c>
      <c r="G1016" t="s">
        <v>2917</v>
      </c>
      <c r="H1016" t="s">
        <v>4532</v>
      </c>
      <c r="I1016">
        <v>28.52</v>
      </c>
    </row>
    <row r="1017" spans="1:9" ht="12.75">
      <c r="A1017">
        <v>1003</v>
      </c>
      <c r="B1017" t="s">
        <v>4533</v>
      </c>
      <c r="C1017" t="s">
        <v>4534</v>
      </c>
      <c r="D1017" t="s">
        <v>3031</v>
      </c>
      <c r="E1017" t="s">
        <v>3032</v>
      </c>
      <c r="F1017" t="str">
        <f>"15/25"</f>
        <v>15/25</v>
      </c>
      <c r="G1017" t="s">
        <v>4535</v>
      </c>
      <c r="H1017" t="s">
        <v>4536</v>
      </c>
      <c r="I1017">
        <v>28.51</v>
      </c>
    </row>
    <row r="1018" spans="1:9" ht="12.75">
      <c r="A1018">
        <v>1004</v>
      </c>
      <c r="B1018" t="s">
        <v>4537</v>
      </c>
      <c r="C1018" t="s">
        <v>2895</v>
      </c>
      <c r="D1018" t="s">
        <v>2780</v>
      </c>
      <c r="E1018" t="s">
        <v>2823</v>
      </c>
      <c r="F1018" t="str">
        <f>"391/668"</f>
        <v>391/668</v>
      </c>
      <c r="G1018" t="s">
        <v>4538</v>
      </c>
      <c r="H1018" t="s">
        <v>4539</v>
      </c>
      <c r="I1018">
        <v>28.5</v>
      </c>
    </row>
    <row r="1019" spans="1:9" ht="12.75">
      <c r="A1019">
        <v>1005</v>
      </c>
      <c r="B1019" t="s">
        <v>4540</v>
      </c>
      <c r="C1019" t="s">
        <v>3114</v>
      </c>
      <c r="D1019" t="s">
        <v>2780</v>
      </c>
      <c r="E1019" t="s">
        <v>2823</v>
      </c>
      <c r="F1019" t="str">
        <f>"392/668"</f>
        <v>392/668</v>
      </c>
      <c r="G1019" t="s">
        <v>3535</v>
      </c>
      <c r="H1019" t="s">
        <v>4541</v>
      </c>
      <c r="I1019">
        <v>28.5</v>
      </c>
    </row>
    <row r="1020" spans="1:9" ht="12.75">
      <c r="A1020">
        <v>1006</v>
      </c>
      <c r="B1020" t="s">
        <v>4542</v>
      </c>
      <c r="C1020" t="s">
        <v>470</v>
      </c>
      <c r="D1020" t="s">
        <v>2780</v>
      </c>
      <c r="E1020" t="s">
        <v>2823</v>
      </c>
      <c r="F1020" t="str">
        <f>"393/668"</f>
        <v>393/668</v>
      </c>
      <c r="G1020" t="s">
        <v>2636</v>
      </c>
      <c r="H1020" t="s">
        <v>4543</v>
      </c>
      <c r="I1020">
        <v>28.5</v>
      </c>
    </row>
    <row r="1021" spans="1:9" ht="12.75">
      <c r="A1021">
        <v>1007</v>
      </c>
      <c r="B1021" t="s">
        <v>4544</v>
      </c>
      <c r="C1021" t="s">
        <v>2963</v>
      </c>
      <c r="D1021" t="s">
        <v>2780</v>
      </c>
      <c r="E1021" t="s">
        <v>2823</v>
      </c>
      <c r="F1021" t="str">
        <f>"394/668"</f>
        <v>394/668</v>
      </c>
      <c r="G1021" t="s">
        <v>5549</v>
      </c>
      <c r="H1021" t="s">
        <v>4545</v>
      </c>
      <c r="I1021">
        <v>28.48</v>
      </c>
    </row>
    <row r="1022" spans="1:9" ht="12.75">
      <c r="A1022">
        <v>1008</v>
      </c>
      <c r="B1022" t="s">
        <v>4310</v>
      </c>
      <c r="C1022" t="s">
        <v>3087</v>
      </c>
      <c r="D1022" t="s">
        <v>2780</v>
      </c>
      <c r="E1022" t="s">
        <v>2823</v>
      </c>
      <c r="F1022" t="str">
        <f>"395/668"</f>
        <v>395/668</v>
      </c>
      <c r="G1022" t="s">
        <v>4546</v>
      </c>
      <c r="H1022" t="s">
        <v>4547</v>
      </c>
      <c r="I1022">
        <v>28.48</v>
      </c>
    </row>
    <row r="1023" spans="1:9" ht="12.75">
      <c r="A1023">
        <v>1009</v>
      </c>
      <c r="B1023" t="s">
        <v>4523</v>
      </c>
      <c r="C1023" t="s">
        <v>2861</v>
      </c>
      <c r="D1023" t="s">
        <v>2780</v>
      </c>
      <c r="E1023" t="s">
        <v>2823</v>
      </c>
      <c r="F1023" t="str">
        <f>"396/668"</f>
        <v>396/668</v>
      </c>
      <c r="G1023" t="s">
        <v>4546</v>
      </c>
      <c r="H1023" t="s">
        <v>4548</v>
      </c>
      <c r="I1023">
        <v>28.48</v>
      </c>
    </row>
    <row r="1024" spans="1:9" ht="12.75">
      <c r="A1024">
        <v>1010</v>
      </c>
      <c r="B1024" t="s">
        <v>4549</v>
      </c>
      <c r="C1024" t="s">
        <v>3286</v>
      </c>
      <c r="D1024" t="s">
        <v>2780</v>
      </c>
      <c r="E1024" t="s">
        <v>2823</v>
      </c>
      <c r="F1024" t="str">
        <f>"397/668"</f>
        <v>397/668</v>
      </c>
      <c r="G1024" t="s">
        <v>4989</v>
      </c>
      <c r="H1024" t="s">
        <v>4550</v>
      </c>
      <c r="I1024">
        <v>28.48</v>
      </c>
    </row>
    <row r="1025" spans="1:9" ht="12.75">
      <c r="A1025">
        <v>1011</v>
      </c>
      <c r="B1025" t="s">
        <v>4551</v>
      </c>
      <c r="C1025" t="s">
        <v>2836</v>
      </c>
      <c r="D1025" t="s">
        <v>2780</v>
      </c>
      <c r="E1025" t="s">
        <v>2818</v>
      </c>
      <c r="F1025" t="str">
        <f>"180/380"</f>
        <v>180/380</v>
      </c>
      <c r="G1025" t="s">
        <v>3535</v>
      </c>
      <c r="H1025" t="s">
        <v>4552</v>
      </c>
      <c r="I1025">
        <v>28.48</v>
      </c>
    </row>
    <row r="1026" spans="1:9" ht="12.75">
      <c r="A1026">
        <v>1012</v>
      </c>
      <c r="B1026" t="s">
        <v>4553</v>
      </c>
      <c r="C1026" t="s">
        <v>2830</v>
      </c>
      <c r="D1026" t="s">
        <v>2780</v>
      </c>
      <c r="E1026" t="s">
        <v>2781</v>
      </c>
      <c r="F1026" t="str">
        <f>"235/354"</f>
        <v>235/354</v>
      </c>
      <c r="G1026" t="s">
        <v>369</v>
      </c>
      <c r="H1026" t="s">
        <v>4552</v>
      </c>
      <c r="I1026">
        <v>28.48</v>
      </c>
    </row>
    <row r="1027" spans="1:9" ht="12.75">
      <c r="A1027">
        <v>1013</v>
      </c>
      <c r="B1027" t="s">
        <v>4554</v>
      </c>
      <c r="C1027" t="s">
        <v>2865</v>
      </c>
      <c r="D1027" t="s">
        <v>2780</v>
      </c>
      <c r="E1027" t="s">
        <v>2823</v>
      </c>
      <c r="F1027" t="str">
        <f>"398/668"</f>
        <v>398/668</v>
      </c>
      <c r="G1027" t="s">
        <v>4555</v>
      </c>
      <c r="H1027" t="s">
        <v>4556</v>
      </c>
      <c r="I1027">
        <v>28.47</v>
      </c>
    </row>
    <row r="1028" spans="1:9" ht="12.75">
      <c r="A1028">
        <v>1014</v>
      </c>
      <c r="B1028" t="s">
        <v>3208</v>
      </c>
      <c r="C1028" t="s">
        <v>3560</v>
      </c>
      <c r="D1028" t="s">
        <v>2780</v>
      </c>
      <c r="E1028" t="s">
        <v>2781</v>
      </c>
      <c r="F1028" t="str">
        <f>"236/354"</f>
        <v>236/354</v>
      </c>
      <c r="G1028" t="s">
        <v>4546</v>
      </c>
      <c r="H1028" t="s">
        <v>4557</v>
      </c>
      <c r="I1028">
        <v>28.47</v>
      </c>
    </row>
    <row r="1029" spans="1:9" ht="12.75">
      <c r="A1029">
        <v>1015</v>
      </c>
      <c r="B1029" t="s">
        <v>4558</v>
      </c>
      <c r="C1029" t="s">
        <v>3560</v>
      </c>
      <c r="D1029" t="s">
        <v>2780</v>
      </c>
      <c r="E1029" t="s">
        <v>2818</v>
      </c>
      <c r="F1029" t="str">
        <f>"181/380"</f>
        <v>181/380</v>
      </c>
      <c r="G1029" t="s">
        <v>4989</v>
      </c>
      <c r="H1029" t="s">
        <v>4559</v>
      </c>
      <c r="I1029">
        <v>28.47</v>
      </c>
    </row>
    <row r="1030" spans="1:9" ht="12.75">
      <c r="A1030">
        <v>1016</v>
      </c>
      <c r="B1030" t="s">
        <v>46</v>
      </c>
      <c r="C1030" t="s">
        <v>353</v>
      </c>
      <c r="D1030" t="s">
        <v>2780</v>
      </c>
      <c r="E1030" t="s">
        <v>2823</v>
      </c>
      <c r="F1030" t="str">
        <f>"399/668"</f>
        <v>399/668</v>
      </c>
      <c r="G1030" t="s">
        <v>4230</v>
      </c>
      <c r="H1030" t="s">
        <v>4560</v>
      </c>
      <c r="I1030">
        <v>28.47</v>
      </c>
    </row>
    <row r="1031" spans="1:9" ht="12.75">
      <c r="A1031">
        <v>1017</v>
      </c>
      <c r="B1031" t="s">
        <v>4561</v>
      </c>
      <c r="C1031" t="s">
        <v>857</v>
      </c>
      <c r="D1031" t="s">
        <v>2780</v>
      </c>
      <c r="E1031" t="s">
        <v>2781</v>
      </c>
      <c r="F1031" t="str">
        <f>"237/354"</f>
        <v>237/354</v>
      </c>
      <c r="G1031" t="s">
        <v>4555</v>
      </c>
      <c r="H1031" t="s">
        <v>4562</v>
      </c>
      <c r="I1031">
        <v>28.47</v>
      </c>
    </row>
    <row r="1032" spans="1:9" ht="12.75">
      <c r="A1032">
        <v>1018</v>
      </c>
      <c r="B1032" t="s">
        <v>4563</v>
      </c>
      <c r="C1032" t="s">
        <v>5387</v>
      </c>
      <c r="D1032" t="s">
        <v>2780</v>
      </c>
      <c r="E1032" t="s">
        <v>2818</v>
      </c>
      <c r="F1032" t="str">
        <f>"182/380"</f>
        <v>182/380</v>
      </c>
      <c r="G1032" t="s">
        <v>7478</v>
      </c>
      <c r="H1032" t="s">
        <v>4564</v>
      </c>
      <c r="I1032">
        <v>28.47</v>
      </c>
    </row>
    <row r="1033" spans="1:9" ht="12.75">
      <c r="A1033">
        <v>1019</v>
      </c>
      <c r="B1033" t="s">
        <v>4565</v>
      </c>
      <c r="C1033" t="s">
        <v>3164</v>
      </c>
      <c r="D1033" t="s">
        <v>2780</v>
      </c>
      <c r="E1033" t="s">
        <v>2823</v>
      </c>
      <c r="F1033" t="str">
        <f>"400/668"</f>
        <v>400/668</v>
      </c>
      <c r="G1033" t="s">
        <v>4566</v>
      </c>
      <c r="H1033" t="s">
        <v>4567</v>
      </c>
      <c r="I1033">
        <v>28.46</v>
      </c>
    </row>
    <row r="1034" spans="1:9" ht="12.75">
      <c r="A1034">
        <v>1020</v>
      </c>
      <c r="B1034" t="s">
        <v>410</v>
      </c>
      <c r="C1034" t="s">
        <v>3464</v>
      </c>
      <c r="D1034" t="s">
        <v>2780</v>
      </c>
      <c r="E1034" t="s">
        <v>2823</v>
      </c>
      <c r="F1034" t="str">
        <f>"401/668"</f>
        <v>401/668</v>
      </c>
      <c r="G1034" t="s">
        <v>1702</v>
      </c>
      <c r="H1034" t="s">
        <v>4568</v>
      </c>
      <c r="I1034">
        <v>28.46</v>
      </c>
    </row>
    <row r="1035" spans="1:9" ht="12.75">
      <c r="A1035">
        <v>1021</v>
      </c>
      <c r="B1035" t="s">
        <v>4569</v>
      </c>
      <c r="C1035" t="s">
        <v>3464</v>
      </c>
      <c r="D1035" t="s">
        <v>2780</v>
      </c>
      <c r="E1035" t="s">
        <v>2799</v>
      </c>
      <c r="F1035" t="str">
        <f>"65/100"</f>
        <v>65/100</v>
      </c>
      <c r="G1035" t="s">
        <v>4023</v>
      </c>
      <c r="H1035" t="s">
        <v>4570</v>
      </c>
      <c r="I1035">
        <v>28.46</v>
      </c>
    </row>
    <row r="1036" spans="1:9" ht="12.75">
      <c r="A1036">
        <v>1022</v>
      </c>
      <c r="B1036" t="s">
        <v>2879</v>
      </c>
      <c r="C1036" t="s">
        <v>4571</v>
      </c>
      <c r="D1036" t="s">
        <v>2780</v>
      </c>
      <c r="E1036" t="s">
        <v>2818</v>
      </c>
      <c r="F1036" t="str">
        <f>"183/380"</f>
        <v>183/380</v>
      </c>
      <c r="G1036" t="s">
        <v>4572</v>
      </c>
      <c r="H1036" t="s">
        <v>4573</v>
      </c>
      <c r="I1036">
        <v>28.46</v>
      </c>
    </row>
    <row r="1037" spans="1:9" ht="12.75">
      <c r="A1037">
        <v>1023</v>
      </c>
      <c r="B1037" t="s">
        <v>4574</v>
      </c>
      <c r="C1037" t="s">
        <v>137</v>
      </c>
      <c r="D1037" t="s">
        <v>2780</v>
      </c>
      <c r="E1037" t="s">
        <v>2973</v>
      </c>
      <c r="F1037" t="str">
        <f>"52/147"</f>
        <v>52/147</v>
      </c>
      <c r="G1037" t="s">
        <v>3261</v>
      </c>
      <c r="H1037" t="s">
        <v>4575</v>
      </c>
      <c r="I1037">
        <v>28.46</v>
      </c>
    </row>
    <row r="1038" spans="1:9" ht="12.75">
      <c r="A1038">
        <v>1024</v>
      </c>
      <c r="B1038" t="s">
        <v>4576</v>
      </c>
      <c r="C1038" t="s">
        <v>2840</v>
      </c>
      <c r="D1038" t="s">
        <v>2780</v>
      </c>
      <c r="E1038" t="s">
        <v>2818</v>
      </c>
      <c r="F1038" t="str">
        <f>"184/380"</f>
        <v>184/380</v>
      </c>
      <c r="G1038" t="s">
        <v>3261</v>
      </c>
      <c r="H1038" t="s">
        <v>4577</v>
      </c>
      <c r="I1038">
        <v>28.46</v>
      </c>
    </row>
    <row r="1039" spans="1:9" ht="12.75">
      <c r="A1039">
        <v>1025</v>
      </c>
      <c r="B1039" t="s">
        <v>4578</v>
      </c>
      <c r="C1039" t="s">
        <v>2963</v>
      </c>
      <c r="D1039" t="s">
        <v>2780</v>
      </c>
      <c r="E1039" t="s">
        <v>2786</v>
      </c>
      <c r="F1039" t="str">
        <f>"33/44"</f>
        <v>33/44</v>
      </c>
      <c r="G1039" t="s">
        <v>1754</v>
      </c>
      <c r="H1039" t="s">
        <v>4579</v>
      </c>
      <c r="I1039">
        <v>28.45</v>
      </c>
    </row>
    <row r="1040" spans="1:9" ht="12.75">
      <c r="A1040">
        <v>1026</v>
      </c>
      <c r="B1040" t="s">
        <v>4580</v>
      </c>
      <c r="C1040" t="s">
        <v>2966</v>
      </c>
      <c r="D1040" t="s">
        <v>2780</v>
      </c>
      <c r="E1040" t="s">
        <v>2781</v>
      </c>
      <c r="F1040" t="str">
        <f>"238/354"</f>
        <v>238/354</v>
      </c>
      <c r="G1040" t="s">
        <v>81</v>
      </c>
      <c r="H1040" t="s">
        <v>4579</v>
      </c>
      <c r="I1040">
        <v>28.45</v>
      </c>
    </row>
    <row r="1041" spans="1:9" ht="12.75">
      <c r="A1041">
        <v>1027</v>
      </c>
      <c r="B1041" t="s">
        <v>4581</v>
      </c>
      <c r="C1041" t="s">
        <v>2961</v>
      </c>
      <c r="D1041" t="s">
        <v>2780</v>
      </c>
      <c r="E1041" t="s">
        <v>2818</v>
      </c>
      <c r="F1041" t="str">
        <f>"185/380"</f>
        <v>185/380</v>
      </c>
      <c r="G1041" t="s">
        <v>3261</v>
      </c>
      <c r="H1041" t="s">
        <v>4582</v>
      </c>
      <c r="I1041">
        <v>28.44</v>
      </c>
    </row>
    <row r="1042" spans="1:9" ht="12.75">
      <c r="A1042">
        <v>1028</v>
      </c>
      <c r="B1042" t="s">
        <v>408</v>
      </c>
      <c r="C1042" t="s">
        <v>2810</v>
      </c>
      <c r="D1042" t="s">
        <v>2780</v>
      </c>
      <c r="E1042" t="s">
        <v>2799</v>
      </c>
      <c r="F1042" t="str">
        <f>"66/100"</f>
        <v>66/100</v>
      </c>
      <c r="G1042" t="s">
        <v>2892</v>
      </c>
      <c r="H1042" t="s">
        <v>4583</v>
      </c>
      <c r="I1042">
        <v>28.43</v>
      </c>
    </row>
    <row r="1043" spans="1:9" ht="12.75">
      <c r="A1043">
        <v>1029</v>
      </c>
      <c r="B1043" t="s">
        <v>2968</v>
      </c>
      <c r="C1043" t="s">
        <v>2830</v>
      </c>
      <c r="D1043" t="s">
        <v>2780</v>
      </c>
      <c r="E1043" t="s">
        <v>2818</v>
      </c>
      <c r="F1043" t="str">
        <f>"186/380"</f>
        <v>186/380</v>
      </c>
      <c r="G1043" t="s">
        <v>4572</v>
      </c>
      <c r="H1043" t="s">
        <v>4584</v>
      </c>
      <c r="I1043">
        <v>28.43</v>
      </c>
    </row>
    <row r="1044" spans="1:9" ht="12.75">
      <c r="A1044">
        <v>1030</v>
      </c>
      <c r="B1044" t="s">
        <v>4585</v>
      </c>
      <c r="C1044" t="s">
        <v>2966</v>
      </c>
      <c r="D1044" t="s">
        <v>2780</v>
      </c>
      <c r="E1044" t="s">
        <v>2823</v>
      </c>
      <c r="F1044" t="str">
        <f>"402/668"</f>
        <v>402/668</v>
      </c>
      <c r="G1044" t="s">
        <v>4891</v>
      </c>
      <c r="H1044" t="s">
        <v>4586</v>
      </c>
      <c r="I1044">
        <v>28.43</v>
      </c>
    </row>
    <row r="1045" spans="1:9" ht="12.75">
      <c r="A1045">
        <v>1031</v>
      </c>
      <c r="B1045" t="s">
        <v>1839</v>
      </c>
      <c r="C1045" t="s">
        <v>2942</v>
      </c>
      <c r="D1045" t="s">
        <v>2780</v>
      </c>
      <c r="E1045" t="s">
        <v>2818</v>
      </c>
      <c r="F1045" t="str">
        <f>"187/380"</f>
        <v>187/380</v>
      </c>
      <c r="G1045" t="s">
        <v>4888</v>
      </c>
      <c r="H1045" t="s">
        <v>4587</v>
      </c>
      <c r="I1045">
        <v>28.43</v>
      </c>
    </row>
    <row r="1046" spans="1:9" ht="12.75">
      <c r="A1046">
        <v>1032</v>
      </c>
      <c r="B1046" t="s">
        <v>3122</v>
      </c>
      <c r="C1046" t="s">
        <v>4588</v>
      </c>
      <c r="D1046" t="s">
        <v>2780</v>
      </c>
      <c r="E1046" t="s">
        <v>2781</v>
      </c>
      <c r="F1046" t="str">
        <f>"239/354"</f>
        <v>239/354</v>
      </c>
      <c r="G1046" t="s">
        <v>4888</v>
      </c>
      <c r="H1046" t="s">
        <v>4589</v>
      </c>
      <c r="I1046">
        <v>28.43</v>
      </c>
    </row>
    <row r="1047" spans="1:9" ht="12.75">
      <c r="A1047">
        <v>1033</v>
      </c>
      <c r="B1047" t="s">
        <v>2034</v>
      </c>
      <c r="C1047" t="s">
        <v>3560</v>
      </c>
      <c r="D1047" t="s">
        <v>2780</v>
      </c>
      <c r="E1047" t="s">
        <v>2799</v>
      </c>
      <c r="F1047" t="str">
        <f>"67/100"</f>
        <v>67/100</v>
      </c>
      <c r="G1047" t="s">
        <v>1187</v>
      </c>
      <c r="H1047" t="s">
        <v>4590</v>
      </c>
      <c r="I1047">
        <v>28.43</v>
      </c>
    </row>
    <row r="1048" spans="1:9" ht="12.75">
      <c r="A1048">
        <v>1034</v>
      </c>
      <c r="B1048" t="s">
        <v>817</v>
      </c>
      <c r="C1048" t="s">
        <v>2840</v>
      </c>
      <c r="D1048" t="s">
        <v>2780</v>
      </c>
      <c r="E1048" t="s">
        <v>3209</v>
      </c>
      <c r="F1048" t="str">
        <f>"5/13"</f>
        <v>5/13</v>
      </c>
      <c r="G1048" t="s">
        <v>4591</v>
      </c>
      <c r="H1048" t="s">
        <v>4592</v>
      </c>
      <c r="I1048">
        <v>28.42</v>
      </c>
    </row>
    <row r="1049" spans="1:9" ht="12.75">
      <c r="A1049">
        <v>1035</v>
      </c>
      <c r="B1049" t="s">
        <v>5119</v>
      </c>
      <c r="C1049" t="s">
        <v>2906</v>
      </c>
      <c r="D1049" t="s">
        <v>2780</v>
      </c>
      <c r="E1049" t="s">
        <v>2781</v>
      </c>
      <c r="F1049" t="str">
        <f>"240/354"</f>
        <v>240/354</v>
      </c>
      <c r="G1049" t="s">
        <v>168</v>
      </c>
      <c r="H1049" t="s">
        <v>4593</v>
      </c>
      <c r="I1049">
        <v>28.42</v>
      </c>
    </row>
    <row r="1050" spans="1:9" ht="12.75">
      <c r="A1050">
        <v>1036</v>
      </c>
      <c r="B1050" t="s">
        <v>4594</v>
      </c>
      <c r="C1050" t="s">
        <v>2807</v>
      </c>
      <c r="D1050" t="s">
        <v>2780</v>
      </c>
      <c r="E1050" t="s">
        <v>2823</v>
      </c>
      <c r="F1050" t="str">
        <f>"403/668"</f>
        <v>403/668</v>
      </c>
      <c r="G1050" t="s">
        <v>369</v>
      </c>
      <c r="H1050" t="s">
        <v>4595</v>
      </c>
      <c r="I1050">
        <v>28.42</v>
      </c>
    </row>
    <row r="1051" spans="1:9" ht="12.75">
      <c r="A1051">
        <v>1037</v>
      </c>
      <c r="B1051" t="s">
        <v>4596</v>
      </c>
      <c r="C1051" t="s">
        <v>2857</v>
      </c>
      <c r="D1051" t="s">
        <v>2780</v>
      </c>
      <c r="E1051" t="s">
        <v>2823</v>
      </c>
      <c r="F1051" t="str">
        <f>"404/668"</f>
        <v>404/668</v>
      </c>
      <c r="G1051" t="s">
        <v>4597</v>
      </c>
      <c r="H1051" t="s">
        <v>4598</v>
      </c>
      <c r="I1051">
        <v>28.41</v>
      </c>
    </row>
    <row r="1052" spans="1:9" ht="12.75">
      <c r="A1052">
        <v>1038</v>
      </c>
      <c r="B1052" t="s">
        <v>5477</v>
      </c>
      <c r="C1052" t="s">
        <v>2807</v>
      </c>
      <c r="D1052" t="s">
        <v>2780</v>
      </c>
      <c r="E1052" t="s">
        <v>2823</v>
      </c>
      <c r="F1052" t="str">
        <f>"405/668"</f>
        <v>405/668</v>
      </c>
      <c r="G1052" t="s">
        <v>2252</v>
      </c>
      <c r="H1052" t="s">
        <v>4599</v>
      </c>
      <c r="I1052">
        <v>28.41</v>
      </c>
    </row>
    <row r="1053" spans="1:9" ht="12.75">
      <c r="A1053">
        <v>1039</v>
      </c>
      <c r="B1053" t="s">
        <v>3620</v>
      </c>
      <c r="C1053" t="s">
        <v>4600</v>
      </c>
      <c r="D1053" t="s">
        <v>2780</v>
      </c>
      <c r="E1053" t="s">
        <v>2823</v>
      </c>
      <c r="F1053" t="str">
        <f>"406/668"</f>
        <v>406/668</v>
      </c>
      <c r="G1053" t="s">
        <v>5285</v>
      </c>
      <c r="H1053" t="s">
        <v>4601</v>
      </c>
      <c r="I1053">
        <v>28.41</v>
      </c>
    </row>
    <row r="1054" spans="1:9" ht="12.75">
      <c r="A1054">
        <v>1040</v>
      </c>
      <c r="B1054" t="s">
        <v>654</v>
      </c>
      <c r="C1054" t="s">
        <v>2779</v>
      </c>
      <c r="D1054" t="s">
        <v>2780</v>
      </c>
      <c r="E1054" t="s">
        <v>2823</v>
      </c>
      <c r="F1054" t="str">
        <f>"407/668"</f>
        <v>407/668</v>
      </c>
      <c r="G1054" t="s">
        <v>3011</v>
      </c>
      <c r="H1054" t="s">
        <v>4602</v>
      </c>
      <c r="I1054">
        <v>28.41</v>
      </c>
    </row>
    <row r="1055" spans="1:9" ht="12.75">
      <c r="A1055">
        <v>1041</v>
      </c>
      <c r="B1055" t="s">
        <v>4603</v>
      </c>
      <c r="C1055" t="s">
        <v>2216</v>
      </c>
      <c r="D1055" t="s">
        <v>2780</v>
      </c>
      <c r="E1055" t="s">
        <v>2973</v>
      </c>
      <c r="F1055" t="str">
        <f>"53/147"</f>
        <v>53/147</v>
      </c>
      <c r="G1055" t="s">
        <v>3060</v>
      </c>
      <c r="H1055" t="s">
        <v>4604</v>
      </c>
      <c r="I1055">
        <v>28.38</v>
      </c>
    </row>
    <row r="1056" spans="1:9" ht="12.75">
      <c r="A1056">
        <v>1042</v>
      </c>
      <c r="B1056" t="s">
        <v>4605</v>
      </c>
      <c r="C1056" t="s">
        <v>2836</v>
      </c>
      <c r="D1056" t="s">
        <v>2780</v>
      </c>
      <c r="E1056" t="s">
        <v>2818</v>
      </c>
      <c r="F1056" t="str">
        <f>"188/380"</f>
        <v>188/380</v>
      </c>
      <c r="G1056" t="s">
        <v>3134</v>
      </c>
      <c r="H1056" t="s">
        <v>4606</v>
      </c>
      <c r="I1056">
        <v>28.38</v>
      </c>
    </row>
    <row r="1057" spans="1:9" ht="12.75">
      <c r="A1057">
        <v>1043</v>
      </c>
      <c r="B1057" t="s">
        <v>4607</v>
      </c>
      <c r="C1057" t="s">
        <v>2865</v>
      </c>
      <c r="D1057" t="s">
        <v>2780</v>
      </c>
      <c r="E1057" t="s">
        <v>2823</v>
      </c>
      <c r="F1057" t="str">
        <f>"408/668"</f>
        <v>408/668</v>
      </c>
      <c r="G1057" t="s">
        <v>4608</v>
      </c>
      <c r="H1057" t="s">
        <v>4609</v>
      </c>
      <c r="I1057">
        <v>28.37</v>
      </c>
    </row>
    <row r="1058" spans="1:9" ht="12.75">
      <c r="A1058">
        <v>1044</v>
      </c>
      <c r="B1058" t="s">
        <v>4610</v>
      </c>
      <c r="C1058" t="s">
        <v>3114</v>
      </c>
      <c r="D1058" t="s">
        <v>2780</v>
      </c>
      <c r="E1058" t="s">
        <v>2973</v>
      </c>
      <c r="F1058" t="str">
        <f>"54/147"</f>
        <v>54/147</v>
      </c>
      <c r="G1058" t="s">
        <v>3363</v>
      </c>
      <c r="H1058" t="s">
        <v>4611</v>
      </c>
      <c r="I1058">
        <v>28.37</v>
      </c>
    </row>
    <row r="1059" spans="1:9" ht="12.75">
      <c r="A1059">
        <v>1045</v>
      </c>
      <c r="B1059" t="s">
        <v>5204</v>
      </c>
      <c r="C1059" t="s">
        <v>7291</v>
      </c>
      <c r="D1059" t="s">
        <v>2780</v>
      </c>
      <c r="E1059" t="s">
        <v>2823</v>
      </c>
      <c r="F1059" t="str">
        <f>"409/668"</f>
        <v>409/668</v>
      </c>
      <c r="G1059" t="s">
        <v>2252</v>
      </c>
      <c r="H1059" t="s">
        <v>4612</v>
      </c>
      <c r="I1059">
        <v>28.37</v>
      </c>
    </row>
    <row r="1060" spans="1:9" ht="12.75">
      <c r="A1060">
        <v>1046</v>
      </c>
      <c r="B1060" t="s">
        <v>7293</v>
      </c>
      <c r="C1060" t="s">
        <v>2861</v>
      </c>
      <c r="D1060" t="s">
        <v>2780</v>
      </c>
      <c r="E1060" t="s">
        <v>2823</v>
      </c>
      <c r="F1060" t="str">
        <f>"410/668"</f>
        <v>410/668</v>
      </c>
      <c r="G1060" t="s">
        <v>3067</v>
      </c>
      <c r="H1060" t="s">
        <v>4613</v>
      </c>
      <c r="I1060">
        <v>28.37</v>
      </c>
    </row>
    <row r="1061" spans="1:9" ht="12.75">
      <c r="A1061">
        <v>1047</v>
      </c>
      <c r="B1061" t="s">
        <v>4614</v>
      </c>
      <c r="C1061" t="s">
        <v>4615</v>
      </c>
      <c r="D1061" t="s">
        <v>2780</v>
      </c>
      <c r="E1061" t="s">
        <v>2818</v>
      </c>
      <c r="F1061" t="str">
        <f>"189/380"</f>
        <v>189/380</v>
      </c>
      <c r="G1061" t="s">
        <v>5200</v>
      </c>
      <c r="H1061" t="s">
        <v>4616</v>
      </c>
      <c r="I1061">
        <v>28.36</v>
      </c>
    </row>
    <row r="1062" spans="1:9" ht="12.75">
      <c r="A1062">
        <v>1048</v>
      </c>
      <c r="B1062" t="s">
        <v>4617</v>
      </c>
      <c r="C1062" t="s">
        <v>2814</v>
      </c>
      <c r="D1062" t="s">
        <v>2780</v>
      </c>
      <c r="E1062" t="s">
        <v>2781</v>
      </c>
      <c r="F1062" t="str">
        <f>"241/354"</f>
        <v>241/354</v>
      </c>
      <c r="G1062" t="s">
        <v>3733</v>
      </c>
      <c r="H1062" t="s">
        <v>4618</v>
      </c>
      <c r="I1062">
        <v>28.36</v>
      </c>
    </row>
    <row r="1063" spans="1:9" ht="12.75">
      <c r="A1063">
        <v>1049</v>
      </c>
      <c r="B1063" t="s">
        <v>4329</v>
      </c>
      <c r="C1063" t="s">
        <v>2378</v>
      </c>
      <c r="D1063" t="s">
        <v>3031</v>
      </c>
      <c r="E1063" t="s">
        <v>3032</v>
      </c>
      <c r="F1063" t="str">
        <f>"16/25"</f>
        <v>16/25</v>
      </c>
      <c r="G1063" t="s">
        <v>4330</v>
      </c>
      <c r="H1063" t="s">
        <v>4619</v>
      </c>
      <c r="I1063">
        <v>28.35</v>
      </c>
    </row>
    <row r="1064" spans="1:9" ht="12.75">
      <c r="A1064">
        <v>1050</v>
      </c>
      <c r="B1064" t="s">
        <v>4620</v>
      </c>
      <c r="C1064" t="s">
        <v>3123</v>
      </c>
      <c r="D1064" t="s">
        <v>2780</v>
      </c>
      <c r="E1064" t="s">
        <v>2818</v>
      </c>
      <c r="F1064" t="str">
        <f>"190/380"</f>
        <v>190/380</v>
      </c>
      <c r="G1064" t="s">
        <v>3261</v>
      </c>
      <c r="H1064" t="s">
        <v>4621</v>
      </c>
      <c r="I1064">
        <v>28.35</v>
      </c>
    </row>
    <row r="1065" spans="1:9" ht="12.75">
      <c r="A1065">
        <v>1051</v>
      </c>
      <c r="B1065" t="s">
        <v>4622</v>
      </c>
      <c r="C1065" t="s">
        <v>5304</v>
      </c>
      <c r="D1065" t="s">
        <v>2780</v>
      </c>
      <c r="E1065" t="s">
        <v>2823</v>
      </c>
      <c r="F1065" t="str">
        <f>"411/668"</f>
        <v>411/668</v>
      </c>
      <c r="G1065" t="s">
        <v>4525</v>
      </c>
      <c r="H1065" t="s">
        <v>4623</v>
      </c>
      <c r="I1065">
        <v>28.35</v>
      </c>
    </row>
    <row r="1066" spans="1:9" ht="12.75">
      <c r="A1066">
        <v>1052</v>
      </c>
      <c r="B1066" t="s">
        <v>4624</v>
      </c>
      <c r="C1066" t="s">
        <v>4625</v>
      </c>
      <c r="D1066" t="s">
        <v>2780</v>
      </c>
      <c r="E1066" t="s">
        <v>2823</v>
      </c>
      <c r="F1066" t="str">
        <f>"412/668"</f>
        <v>412/668</v>
      </c>
      <c r="G1066" t="s">
        <v>3516</v>
      </c>
      <c r="H1066" t="s">
        <v>4626</v>
      </c>
      <c r="I1066">
        <v>28.33</v>
      </c>
    </row>
    <row r="1067" spans="1:9" ht="12.75">
      <c r="A1067">
        <v>1053</v>
      </c>
      <c r="B1067" t="s">
        <v>4627</v>
      </c>
      <c r="C1067" t="s">
        <v>2942</v>
      </c>
      <c r="D1067" t="s">
        <v>2780</v>
      </c>
      <c r="E1067" t="s">
        <v>2823</v>
      </c>
      <c r="F1067" t="str">
        <f>"413/668"</f>
        <v>413/668</v>
      </c>
      <c r="G1067" t="s">
        <v>3067</v>
      </c>
      <c r="H1067" t="s">
        <v>4628</v>
      </c>
      <c r="I1067">
        <v>28.32</v>
      </c>
    </row>
    <row r="1068" spans="1:9" ht="12.75">
      <c r="A1068">
        <v>1054</v>
      </c>
      <c r="B1068" t="s">
        <v>4629</v>
      </c>
      <c r="C1068" t="s">
        <v>2861</v>
      </c>
      <c r="D1068" t="s">
        <v>2780</v>
      </c>
      <c r="E1068" t="s">
        <v>2823</v>
      </c>
      <c r="F1068" t="str">
        <f>"414/668"</f>
        <v>414/668</v>
      </c>
      <c r="G1068" t="s">
        <v>4630</v>
      </c>
      <c r="H1068" t="s">
        <v>4631</v>
      </c>
      <c r="I1068">
        <v>28.31</v>
      </c>
    </row>
    <row r="1069" spans="1:9" ht="12.75">
      <c r="A1069">
        <v>1055</v>
      </c>
      <c r="B1069" t="s">
        <v>4632</v>
      </c>
      <c r="C1069" t="s">
        <v>2814</v>
      </c>
      <c r="D1069" t="s">
        <v>2780</v>
      </c>
      <c r="E1069" t="s">
        <v>2823</v>
      </c>
      <c r="F1069" t="str">
        <f>"415/668"</f>
        <v>415/668</v>
      </c>
      <c r="G1069" t="s">
        <v>2936</v>
      </c>
      <c r="H1069" t="s">
        <v>4633</v>
      </c>
      <c r="I1069">
        <v>28.31</v>
      </c>
    </row>
    <row r="1070" spans="1:9" ht="12.75">
      <c r="A1070">
        <v>1056</v>
      </c>
      <c r="B1070" t="s">
        <v>3378</v>
      </c>
      <c r="C1070" t="s">
        <v>2814</v>
      </c>
      <c r="D1070" t="s">
        <v>2780</v>
      </c>
      <c r="E1070" t="s">
        <v>2781</v>
      </c>
      <c r="F1070" t="str">
        <f>"242/354"</f>
        <v>242/354</v>
      </c>
      <c r="G1070" t="s">
        <v>3067</v>
      </c>
      <c r="H1070" t="s">
        <v>4634</v>
      </c>
      <c r="I1070">
        <v>28.31</v>
      </c>
    </row>
    <row r="1071" spans="1:9" ht="12.75">
      <c r="A1071">
        <v>1057</v>
      </c>
      <c r="B1071" t="s">
        <v>4635</v>
      </c>
      <c r="C1071" t="s">
        <v>3560</v>
      </c>
      <c r="D1071" t="s">
        <v>2780</v>
      </c>
      <c r="E1071" t="s">
        <v>2781</v>
      </c>
      <c r="F1071" t="str">
        <f>"243/354"</f>
        <v>243/354</v>
      </c>
      <c r="G1071" t="s">
        <v>350</v>
      </c>
      <c r="H1071" t="s">
        <v>4636</v>
      </c>
      <c r="I1071">
        <v>28.28</v>
      </c>
    </row>
    <row r="1072" spans="1:9" ht="12.75">
      <c r="A1072">
        <v>1058</v>
      </c>
      <c r="B1072" t="s">
        <v>4637</v>
      </c>
      <c r="C1072" t="s">
        <v>2807</v>
      </c>
      <c r="D1072" t="s">
        <v>2780</v>
      </c>
      <c r="E1072" t="s">
        <v>2781</v>
      </c>
      <c r="F1072" t="str">
        <f>"244/354"</f>
        <v>244/354</v>
      </c>
      <c r="G1072" t="s">
        <v>4895</v>
      </c>
      <c r="H1072" t="s">
        <v>4638</v>
      </c>
      <c r="I1072">
        <v>28.28</v>
      </c>
    </row>
    <row r="1073" spans="1:9" ht="12.75">
      <c r="A1073">
        <v>1059</v>
      </c>
      <c r="B1073" t="s">
        <v>4887</v>
      </c>
      <c r="C1073" t="s">
        <v>3421</v>
      </c>
      <c r="D1073" t="s">
        <v>2780</v>
      </c>
      <c r="E1073" t="s">
        <v>2818</v>
      </c>
      <c r="F1073" t="str">
        <f>"191/380"</f>
        <v>191/380</v>
      </c>
      <c r="G1073" t="s">
        <v>5301</v>
      </c>
      <c r="H1073" t="s">
        <v>4639</v>
      </c>
      <c r="I1073">
        <v>28.27</v>
      </c>
    </row>
    <row r="1074" spans="1:9" ht="12.75">
      <c r="A1074">
        <v>1060</v>
      </c>
      <c r="B1074" t="s">
        <v>4640</v>
      </c>
      <c r="C1074" t="s">
        <v>696</v>
      </c>
      <c r="D1074" t="s">
        <v>2780</v>
      </c>
      <c r="E1074" t="s">
        <v>2823</v>
      </c>
      <c r="F1074" t="str">
        <f>"416/668"</f>
        <v>416/668</v>
      </c>
      <c r="G1074" t="s">
        <v>2330</v>
      </c>
      <c r="H1074" t="s">
        <v>4641</v>
      </c>
      <c r="I1074">
        <v>28.27</v>
      </c>
    </row>
    <row r="1075" spans="1:9" ht="12.75">
      <c r="A1075">
        <v>1061</v>
      </c>
      <c r="B1075" t="s">
        <v>4642</v>
      </c>
      <c r="C1075" t="s">
        <v>2942</v>
      </c>
      <c r="D1075" t="s">
        <v>2780</v>
      </c>
      <c r="E1075" t="s">
        <v>2818</v>
      </c>
      <c r="F1075" t="str">
        <f>"192/380"</f>
        <v>192/380</v>
      </c>
      <c r="G1075" t="s">
        <v>4643</v>
      </c>
      <c r="H1075" t="s">
        <v>4644</v>
      </c>
      <c r="I1075">
        <v>28.26</v>
      </c>
    </row>
    <row r="1076" spans="1:9" ht="12.75">
      <c r="A1076">
        <v>1062</v>
      </c>
      <c r="B1076" t="s">
        <v>4645</v>
      </c>
      <c r="C1076" t="s">
        <v>2868</v>
      </c>
      <c r="D1076" t="s">
        <v>2780</v>
      </c>
      <c r="E1076" t="s">
        <v>2818</v>
      </c>
      <c r="F1076" t="str">
        <f>"193/380"</f>
        <v>193/380</v>
      </c>
      <c r="G1076" t="s">
        <v>601</v>
      </c>
      <c r="H1076" t="s">
        <v>4646</v>
      </c>
      <c r="I1076">
        <v>28.26</v>
      </c>
    </row>
    <row r="1077" spans="1:9" ht="12.75">
      <c r="A1077">
        <v>1063</v>
      </c>
      <c r="B1077" t="s">
        <v>4397</v>
      </c>
      <c r="C1077" t="s">
        <v>2785</v>
      </c>
      <c r="D1077" t="s">
        <v>2780</v>
      </c>
      <c r="E1077" t="s">
        <v>2781</v>
      </c>
      <c r="F1077" t="str">
        <f>"245/354"</f>
        <v>245/354</v>
      </c>
      <c r="G1077" t="s">
        <v>601</v>
      </c>
      <c r="H1077" t="s">
        <v>4647</v>
      </c>
      <c r="I1077">
        <v>28.26</v>
      </c>
    </row>
    <row r="1078" spans="1:9" ht="12.75">
      <c r="A1078">
        <v>1064</v>
      </c>
      <c r="B1078" t="s">
        <v>1758</v>
      </c>
      <c r="C1078" t="s">
        <v>2942</v>
      </c>
      <c r="D1078" t="s">
        <v>2780</v>
      </c>
      <c r="E1078" t="s">
        <v>2823</v>
      </c>
      <c r="F1078" t="str">
        <f>"417/668"</f>
        <v>417/668</v>
      </c>
      <c r="G1078" t="s">
        <v>4648</v>
      </c>
      <c r="H1078" t="s">
        <v>4649</v>
      </c>
      <c r="I1078">
        <v>28.24</v>
      </c>
    </row>
    <row r="1079" spans="1:9" ht="12.75">
      <c r="A1079">
        <v>1065</v>
      </c>
      <c r="B1079" t="s">
        <v>4650</v>
      </c>
      <c r="C1079" t="s">
        <v>3057</v>
      </c>
      <c r="D1079" t="s">
        <v>2780</v>
      </c>
      <c r="E1079" t="s">
        <v>2823</v>
      </c>
      <c r="F1079" t="str">
        <f>"418/668"</f>
        <v>418/668</v>
      </c>
      <c r="G1079" t="s">
        <v>7207</v>
      </c>
      <c r="H1079" t="s">
        <v>4651</v>
      </c>
      <c r="I1079">
        <v>28.23</v>
      </c>
    </row>
    <row r="1080" spans="1:9" ht="12.75">
      <c r="A1080">
        <v>1066</v>
      </c>
      <c r="B1080" t="s">
        <v>2867</v>
      </c>
      <c r="C1080" t="s">
        <v>3141</v>
      </c>
      <c r="D1080" t="s">
        <v>2780</v>
      </c>
      <c r="E1080" t="s">
        <v>2823</v>
      </c>
      <c r="F1080" t="str">
        <f>"419/668"</f>
        <v>419/668</v>
      </c>
      <c r="G1080" t="s">
        <v>2693</v>
      </c>
      <c r="H1080" t="s">
        <v>4652</v>
      </c>
      <c r="I1080">
        <v>28.23</v>
      </c>
    </row>
    <row r="1081" spans="1:9" ht="12.75">
      <c r="A1081">
        <v>1067</v>
      </c>
      <c r="B1081" t="s">
        <v>4653</v>
      </c>
      <c r="C1081" t="s">
        <v>4588</v>
      </c>
      <c r="D1081" t="s">
        <v>2780</v>
      </c>
      <c r="E1081" t="s">
        <v>2818</v>
      </c>
      <c r="F1081" t="str">
        <f>"194/380"</f>
        <v>194/380</v>
      </c>
      <c r="G1081" t="s">
        <v>4654</v>
      </c>
      <c r="H1081" t="s">
        <v>4655</v>
      </c>
      <c r="I1081">
        <v>28.22</v>
      </c>
    </row>
    <row r="1082" spans="1:9" ht="12.75">
      <c r="A1082">
        <v>1068</v>
      </c>
      <c r="B1082" t="s">
        <v>4656</v>
      </c>
      <c r="C1082" t="s">
        <v>2861</v>
      </c>
      <c r="D1082" t="s">
        <v>2780</v>
      </c>
      <c r="E1082" t="s">
        <v>3209</v>
      </c>
      <c r="F1082" t="str">
        <f>"6/13"</f>
        <v>6/13</v>
      </c>
      <c r="G1082" t="s">
        <v>795</v>
      </c>
      <c r="H1082" t="s">
        <v>4657</v>
      </c>
      <c r="I1082">
        <v>28.21</v>
      </c>
    </row>
    <row r="1083" spans="1:9" ht="12.75">
      <c r="A1083">
        <v>1069</v>
      </c>
      <c r="B1083" t="s">
        <v>3101</v>
      </c>
      <c r="C1083" t="s">
        <v>1911</v>
      </c>
      <c r="D1083" t="s">
        <v>2780</v>
      </c>
      <c r="E1083" t="s">
        <v>2818</v>
      </c>
      <c r="F1083" t="str">
        <f>"195/380"</f>
        <v>195/380</v>
      </c>
      <c r="G1083" t="s">
        <v>4658</v>
      </c>
      <c r="H1083" t="s">
        <v>4659</v>
      </c>
      <c r="I1083">
        <v>28.2</v>
      </c>
    </row>
    <row r="1084" spans="1:9" ht="12.75">
      <c r="A1084">
        <v>1070</v>
      </c>
      <c r="B1084" t="s">
        <v>2171</v>
      </c>
      <c r="C1084" t="s">
        <v>2865</v>
      </c>
      <c r="D1084" t="s">
        <v>2780</v>
      </c>
      <c r="E1084" t="s">
        <v>2818</v>
      </c>
      <c r="F1084" t="str">
        <f>"196/380"</f>
        <v>196/380</v>
      </c>
      <c r="G1084" t="s">
        <v>3261</v>
      </c>
      <c r="H1084" t="s">
        <v>4660</v>
      </c>
      <c r="I1084">
        <v>28.18</v>
      </c>
    </row>
    <row r="1085" spans="1:9" ht="12.75">
      <c r="A1085">
        <v>1071</v>
      </c>
      <c r="B1085" t="s">
        <v>4661</v>
      </c>
      <c r="C1085" t="s">
        <v>2876</v>
      </c>
      <c r="D1085" t="s">
        <v>2780</v>
      </c>
      <c r="E1085" t="s">
        <v>2823</v>
      </c>
      <c r="F1085" t="str">
        <f>"420/668"</f>
        <v>420/668</v>
      </c>
      <c r="G1085" t="s">
        <v>1819</v>
      </c>
      <c r="H1085" t="s">
        <v>4662</v>
      </c>
      <c r="I1085">
        <v>28.18</v>
      </c>
    </row>
    <row r="1086" spans="1:9" ht="12.75">
      <c r="A1086">
        <v>1072</v>
      </c>
      <c r="B1086" t="s">
        <v>4663</v>
      </c>
      <c r="C1086" t="s">
        <v>3164</v>
      </c>
      <c r="D1086" t="s">
        <v>2780</v>
      </c>
      <c r="E1086" t="s">
        <v>2823</v>
      </c>
      <c r="F1086" t="str">
        <f>"421/668"</f>
        <v>421/668</v>
      </c>
      <c r="G1086" t="s">
        <v>3715</v>
      </c>
      <c r="H1086" t="s">
        <v>4664</v>
      </c>
      <c r="I1086">
        <v>28.18</v>
      </c>
    </row>
    <row r="1087" spans="1:9" ht="12.75">
      <c r="A1087">
        <v>1073</v>
      </c>
      <c r="B1087" t="s">
        <v>4665</v>
      </c>
      <c r="C1087" t="s">
        <v>4666</v>
      </c>
      <c r="D1087" t="s">
        <v>2780</v>
      </c>
      <c r="E1087" t="s">
        <v>2973</v>
      </c>
      <c r="F1087" t="str">
        <f>"55/147"</f>
        <v>55/147</v>
      </c>
      <c r="G1087" t="s">
        <v>3261</v>
      </c>
      <c r="H1087" t="s">
        <v>4667</v>
      </c>
      <c r="I1087">
        <v>28.18</v>
      </c>
    </row>
    <row r="1088" spans="1:9" ht="12.75">
      <c r="A1088">
        <v>1074</v>
      </c>
      <c r="B1088" t="s">
        <v>4668</v>
      </c>
      <c r="C1088" t="s">
        <v>5593</v>
      </c>
      <c r="D1088" t="s">
        <v>2780</v>
      </c>
      <c r="E1088" t="s">
        <v>2973</v>
      </c>
      <c r="F1088" t="str">
        <f>"56/147"</f>
        <v>56/147</v>
      </c>
      <c r="G1088" t="s">
        <v>2643</v>
      </c>
      <c r="H1088" t="s">
        <v>4669</v>
      </c>
      <c r="I1088">
        <v>28.18</v>
      </c>
    </row>
    <row r="1089" spans="1:9" ht="12.75">
      <c r="A1089">
        <v>1075</v>
      </c>
      <c r="B1089" t="s">
        <v>1673</v>
      </c>
      <c r="C1089" t="s">
        <v>3464</v>
      </c>
      <c r="D1089" t="s">
        <v>2780</v>
      </c>
      <c r="E1089" t="s">
        <v>2823</v>
      </c>
      <c r="F1089" t="str">
        <f>"422/668"</f>
        <v>422/668</v>
      </c>
      <c r="G1089" t="s">
        <v>4670</v>
      </c>
      <c r="H1089" t="s">
        <v>4671</v>
      </c>
      <c r="I1089">
        <v>28.17</v>
      </c>
    </row>
    <row r="1090" spans="1:9" ht="12.75">
      <c r="A1090">
        <v>1076</v>
      </c>
      <c r="B1090" t="s">
        <v>4672</v>
      </c>
      <c r="C1090" t="s">
        <v>2895</v>
      </c>
      <c r="D1090" t="s">
        <v>2780</v>
      </c>
      <c r="E1090" t="s">
        <v>2818</v>
      </c>
      <c r="F1090" t="str">
        <f>"197/380"</f>
        <v>197/380</v>
      </c>
      <c r="G1090" t="s">
        <v>1104</v>
      </c>
      <c r="H1090" t="s">
        <v>4673</v>
      </c>
      <c r="I1090">
        <v>28.16</v>
      </c>
    </row>
    <row r="1091" spans="1:9" ht="12.75">
      <c r="A1091">
        <v>1077</v>
      </c>
      <c r="B1091" t="s">
        <v>7508</v>
      </c>
      <c r="C1091" t="s">
        <v>4674</v>
      </c>
      <c r="D1091" t="s">
        <v>3031</v>
      </c>
      <c r="E1091" t="s">
        <v>3244</v>
      </c>
      <c r="F1091" t="str">
        <f>"17/40"</f>
        <v>17/40</v>
      </c>
      <c r="G1091" t="s">
        <v>369</v>
      </c>
      <c r="H1091" t="s">
        <v>4675</v>
      </c>
      <c r="I1091">
        <v>28.15</v>
      </c>
    </row>
    <row r="1092" spans="1:9" ht="12.75">
      <c r="A1092">
        <v>1078</v>
      </c>
      <c r="B1092" t="s">
        <v>4676</v>
      </c>
      <c r="C1092" t="s">
        <v>3057</v>
      </c>
      <c r="D1092" t="s">
        <v>2780</v>
      </c>
      <c r="E1092" t="s">
        <v>2818</v>
      </c>
      <c r="F1092" t="str">
        <f>"198/380"</f>
        <v>198/380</v>
      </c>
      <c r="G1092" t="s">
        <v>1104</v>
      </c>
      <c r="H1092" t="s">
        <v>4677</v>
      </c>
      <c r="I1092">
        <v>28.15</v>
      </c>
    </row>
    <row r="1093" spans="1:9" ht="12.75">
      <c r="A1093">
        <v>1079</v>
      </c>
      <c r="B1093" t="s">
        <v>1832</v>
      </c>
      <c r="C1093" t="s">
        <v>2857</v>
      </c>
      <c r="D1093" t="s">
        <v>2780</v>
      </c>
      <c r="E1093" t="s">
        <v>2781</v>
      </c>
      <c r="F1093" t="str">
        <f>"246/354"</f>
        <v>246/354</v>
      </c>
      <c r="G1093" t="s">
        <v>4678</v>
      </c>
      <c r="H1093" t="s">
        <v>4679</v>
      </c>
      <c r="I1093">
        <v>28.15</v>
      </c>
    </row>
    <row r="1094" spans="1:9" ht="12.75">
      <c r="A1094">
        <v>1080</v>
      </c>
      <c r="B1094" t="s">
        <v>4680</v>
      </c>
      <c r="C1094" t="s">
        <v>2861</v>
      </c>
      <c r="D1094" t="s">
        <v>2780</v>
      </c>
      <c r="E1094" t="s">
        <v>2823</v>
      </c>
      <c r="F1094" t="str">
        <f>"423/668"</f>
        <v>423/668</v>
      </c>
      <c r="G1094" t="s">
        <v>1104</v>
      </c>
      <c r="H1094" t="s">
        <v>4681</v>
      </c>
      <c r="I1094">
        <v>28.15</v>
      </c>
    </row>
    <row r="1095" spans="1:9" ht="12.75">
      <c r="A1095">
        <v>1081</v>
      </c>
      <c r="B1095" t="s">
        <v>124</v>
      </c>
      <c r="C1095" t="s">
        <v>2830</v>
      </c>
      <c r="D1095" t="s">
        <v>2780</v>
      </c>
      <c r="E1095" t="s">
        <v>2973</v>
      </c>
      <c r="F1095" t="str">
        <f>"57/147"</f>
        <v>57/147</v>
      </c>
      <c r="G1095" t="s">
        <v>1104</v>
      </c>
      <c r="H1095" t="s">
        <v>4682</v>
      </c>
      <c r="I1095">
        <v>28.14</v>
      </c>
    </row>
    <row r="1096" spans="1:9" ht="12.75">
      <c r="A1096">
        <v>1082</v>
      </c>
      <c r="B1096" t="s">
        <v>4683</v>
      </c>
      <c r="C1096" t="s">
        <v>2966</v>
      </c>
      <c r="D1096" t="s">
        <v>2780</v>
      </c>
      <c r="E1096" t="s">
        <v>2973</v>
      </c>
      <c r="F1096" t="str">
        <f>"58/147"</f>
        <v>58/147</v>
      </c>
      <c r="G1096" t="s">
        <v>2974</v>
      </c>
      <c r="H1096" t="s">
        <v>4684</v>
      </c>
      <c r="I1096">
        <v>28.13</v>
      </c>
    </row>
    <row r="1097" spans="1:9" ht="12.75">
      <c r="A1097">
        <v>1083</v>
      </c>
      <c r="B1097" t="s">
        <v>4685</v>
      </c>
      <c r="C1097" t="s">
        <v>2861</v>
      </c>
      <c r="D1097" t="s">
        <v>2780</v>
      </c>
      <c r="E1097" t="s">
        <v>2823</v>
      </c>
      <c r="F1097" t="str">
        <f>"424/668"</f>
        <v>424/668</v>
      </c>
      <c r="G1097" t="s">
        <v>4335</v>
      </c>
      <c r="H1097" t="s">
        <v>4686</v>
      </c>
      <c r="I1097">
        <v>28.13</v>
      </c>
    </row>
    <row r="1098" spans="1:9" ht="12.75">
      <c r="A1098">
        <v>1084</v>
      </c>
      <c r="B1098" t="s">
        <v>4687</v>
      </c>
      <c r="C1098" t="s">
        <v>3421</v>
      </c>
      <c r="D1098" t="s">
        <v>2780</v>
      </c>
      <c r="E1098" t="s">
        <v>2818</v>
      </c>
      <c r="F1098" t="str">
        <f>"199/380"</f>
        <v>199/380</v>
      </c>
      <c r="G1098" t="s">
        <v>4335</v>
      </c>
      <c r="H1098" t="s">
        <v>4688</v>
      </c>
      <c r="I1098">
        <v>28.13</v>
      </c>
    </row>
    <row r="1099" spans="1:9" ht="12.75">
      <c r="A1099">
        <v>1085</v>
      </c>
      <c r="B1099" t="s">
        <v>4689</v>
      </c>
      <c r="C1099" t="s">
        <v>3116</v>
      </c>
      <c r="D1099" t="s">
        <v>2780</v>
      </c>
      <c r="E1099" t="s">
        <v>2781</v>
      </c>
      <c r="F1099" t="str">
        <f>"247/354"</f>
        <v>247/354</v>
      </c>
      <c r="G1099" t="s">
        <v>2889</v>
      </c>
      <c r="H1099" t="s">
        <v>4690</v>
      </c>
      <c r="I1099">
        <v>28.12</v>
      </c>
    </row>
    <row r="1100" spans="1:9" ht="12.75">
      <c r="A1100">
        <v>1086</v>
      </c>
      <c r="B1100" t="s">
        <v>4691</v>
      </c>
      <c r="C1100" t="s">
        <v>7381</v>
      </c>
      <c r="D1100" t="s">
        <v>2780</v>
      </c>
      <c r="E1100" t="s">
        <v>2973</v>
      </c>
      <c r="F1100" t="str">
        <f>"59/147"</f>
        <v>59/147</v>
      </c>
      <c r="G1100" t="s">
        <v>4692</v>
      </c>
      <c r="H1100" t="s">
        <v>4693</v>
      </c>
      <c r="I1100">
        <v>28.12</v>
      </c>
    </row>
    <row r="1101" spans="1:9" ht="12.75">
      <c r="A1101">
        <v>1087</v>
      </c>
      <c r="B1101" t="s">
        <v>4694</v>
      </c>
      <c r="C1101" t="s">
        <v>3346</v>
      </c>
      <c r="D1101" t="s">
        <v>2780</v>
      </c>
      <c r="E1101" t="s">
        <v>2823</v>
      </c>
      <c r="F1101" t="str">
        <f>"425/668"</f>
        <v>425/668</v>
      </c>
      <c r="G1101" t="s">
        <v>369</v>
      </c>
      <c r="H1101" t="s">
        <v>4695</v>
      </c>
      <c r="I1101">
        <v>28.11</v>
      </c>
    </row>
    <row r="1102" spans="1:9" ht="12.75">
      <c r="A1102">
        <v>1088</v>
      </c>
      <c r="B1102" t="s">
        <v>5522</v>
      </c>
      <c r="C1102" t="s">
        <v>5505</v>
      </c>
      <c r="D1102" t="s">
        <v>2780</v>
      </c>
      <c r="E1102" t="s">
        <v>2823</v>
      </c>
      <c r="F1102" t="str">
        <f>"426/668"</f>
        <v>426/668</v>
      </c>
      <c r="G1102" t="s">
        <v>3947</v>
      </c>
      <c r="H1102" t="s">
        <v>4696</v>
      </c>
      <c r="I1102">
        <v>28.08</v>
      </c>
    </row>
    <row r="1103" spans="1:9" ht="12.75">
      <c r="A1103">
        <v>1089</v>
      </c>
      <c r="B1103" t="s">
        <v>4697</v>
      </c>
      <c r="C1103" t="s">
        <v>84</v>
      </c>
      <c r="D1103" t="s">
        <v>2780</v>
      </c>
      <c r="E1103" t="s">
        <v>2818</v>
      </c>
      <c r="F1103" t="str">
        <f>"200/380"</f>
        <v>200/380</v>
      </c>
      <c r="G1103" t="s">
        <v>2936</v>
      </c>
      <c r="H1103" t="s">
        <v>4698</v>
      </c>
      <c r="I1103">
        <v>28.08</v>
      </c>
    </row>
    <row r="1104" spans="1:9" ht="12.75">
      <c r="A1104">
        <v>1090</v>
      </c>
      <c r="B1104" t="s">
        <v>4699</v>
      </c>
      <c r="C1104" t="s">
        <v>2865</v>
      </c>
      <c r="D1104" t="s">
        <v>2780</v>
      </c>
      <c r="E1104" t="s">
        <v>2823</v>
      </c>
      <c r="F1104" t="str">
        <f>"427/668"</f>
        <v>427/668</v>
      </c>
      <c r="G1104" t="s">
        <v>2936</v>
      </c>
      <c r="H1104" t="s">
        <v>4700</v>
      </c>
      <c r="I1104">
        <v>28.07</v>
      </c>
    </row>
    <row r="1105" spans="1:9" ht="12.75">
      <c r="A1105">
        <v>1091</v>
      </c>
      <c r="B1105" t="s">
        <v>4701</v>
      </c>
      <c r="C1105" t="s">
        <v>633</v>
      </c>
      <c r="D1105" t="s">
        <v>2780</v>
      </c>
      <c r="E1105" t="s">
        <v>2823</v>
      </c>
      <c r="F1105" t="str">
        <f>"428/668"</f>
        <v>428/668</v>
      </c>
      <c r="G1105" t="s">
        <v>4702</v>
      </c>
      <c r="H1105" t="s">
        <v>4703</v>
      </c>
      <c r="I1105">
        <v>28.07</v>
      </c>
    </row>
    <row r="1106" spans="1:9" ht="12.75">
      <c r="A1106">
        <v>1092</v>
      </c>
      <c r="B1106" t="s">
        <v>3835</v>
      </c>
      <c r="C1106" t="s">
        <v>2916</v>
      </c>
      <c r="D1106" t="s">
        <v>2780</v>
      </c>
      <c r="E1106" t="s">
        <v>2799</v>
      </c>
      <c r="F1106" t="str">
        <f>"68/100"</f>
        <v>68/100</v>
      </c>
      <c r="G1106" t="s">
        <v>496</v>
      </c>
      <c r="H1106" t="s">
        <v>4704</v>
      </c>
      <c r="I1106">
        <v>28.07</v>
      </c>
    </row>
    <row r="1107" spans="1:9" ht="12.75">
      <c r="A1107">
        <v>1093</v>
      </c>
      <c r="B1107" t="s">
        <v>7258</v>
      </c>
      <c r="C1107" t="s">
        <v>4705</v>
      </c>
      <c r="D1107" t="s">
        <v>3031</v>
      </c>
      <c r="E1107" t="s">
        <v>3244</v>
      </c>
      <c r="F1107" t="str">
        <f>"18/40"</f>
        <v>18/40</v>
      </c>
      <c r="G1107" t="s">
        <v>2982</v>
      </c>
      <c r="H1107" t="s">
        <v>4706</v>
      </c>
      <c r="I1107">
        <v>28.06</v>
      </c>
    </row>
    <row r="1108" spans="1:9" ht="12.75">
      <c r="A1108">
        <v>1094</v>
      </c>
      <c r="B1108" t="s">
        <v>4707</v>
      </c>
      <c r="C1108" t="s">
        <v>3123</v>
      </c>
      <c r="D1108" t="s">
        <v>2780</v>
      </c>
      <c r="E1108" t="s">
        <v>2818</v>
      </c>
      <c r="F1108" t="str">
        <f>"201/380"</f>
        <v>201/380</v>
      </c>
      <c r="G1108" t="s">
        <v>2982</v>
      </c>
      <c r="H1108" t="s">
        <v>4708</v>
      </c>
      <c r="I1108">
        <v>28.06</v>
      </c>
    </row>
    <row r="1109" spans="1:9" ht="12.75">
      <c r="A1109">
        <v>1095</v>
      </c>
      <c r="B1109" t="s">
        <v>4709</v>
      </c>
      <c r="C1109" t="s">
        <v>3417</v>
      </c>
      <c r="D1109" t="s">
        <v>2780</v>
      </c>
      <c r="E1109" t="s">
        <v>2818</v>
      </c>
      <c r="F1109" t="str">
        <f>"202/380"</f>
        <v>202/380</v>
      </c>
      <c r="G1109" t="s">
        <v>7011</v>
      </c>
      <c r="H1109" t="s">
        <v>4710</v>
      </c>
      <c r="I1109">
        <v>28.04</v>
      </c>
    </row>
    <row r="1110" spans="1:9" ht="12.75">
      <c r="A1110">
        <v>1096</v>
      </c>
      <c r="B1110" t="s">
        <v>4711</v>
      </c>
      <c r="C1110" t="s">
        <v>2861</v>
      </c>
      <c r="D1110" t="s">
        <v>2780</v>
      </c>
      <c r="E1110" t="s">
        <v>2823</v>
      </c>
      <c r="F1110" t="str">
        <f>"429/668"</f>
        <v>429/668</v>
      </c>
      <c r="G1110" t="s">
        <v>5512</v>
      </c>
      <c r="H1110" t="s">
        <v>4712</v>
      </c>
      <c r="I1110">
        <v>28.04</v>
      </c>
    </row>
    <row r="1111" spans="1:9" ht="12.75">
      <c r="A1111">
        <v>1097</v>
      </c>
      <c r="B1111" t="s">
        <v>4713</v>
      </c>
      <c r="C1111" t="s">
        <v>3488</v>
      </c>
      <c r="D1111" t="s">
        <v>2780</v>
      </c>
      <c r="E1111" t="s">
        <v>2818</v>
      </c>
      <c r="F1111" t="str">
        <f>"203/380"</f>
        <v>203/380</v>
      </c>
      <c r="G1111" t="s">
        <v>4714</v>
      </c>
      <c r="H1111" t="s">
        <v>4715</v>
      </c>
      <c r="I1111">
        <v>28.02</v>
      </c>
    </row>
    <row r="1112" spans="1:9" ht="12.75">
      <c r="A1112">
        <v>1098</v>
      </c>
      <c r="B1112" t="s">
        <v>4716</v>
      </c>
      <c r="C1112" t="s">
        <v>3438</v>
      </c>
      <c r="D1112" t="s">
        <v>2780</v>
      </c>
      <c r="E1112" t="s">
        <v>2818</v>
      </c>
      <c r="F1112" t="str">
        <f>"204/380"</f>
        <v>204/380</v>
      </c>
      <c r="G1112" t="s">
        <v>4717</v>
      </c>
      <c r="H1112" t="s">
        <v>4718</v>
      </c>
      <c r="I1112">
        <v>28.01</v>
      </c>
    </row>
    <row r="1113" spans="1:9" ht="12.75">
      <c r="A1113">
        <v>1099</v>
      </c>
      <c r="B1113" t="s">
        <v>4719</v>
      </c>
      <c r="C1113" t="s">
        <v>3164</v>
      </c>
      <c r="D1113" t="s">
        <v>2780</v>
      </c>
      <c r="E1113" t="s">
        <v>2818</v>
      </c>
      <c r="F1113" t="str">
        <f>"205/380"</f>
        <v>205/380</v>
      </c>
      <c r="G1113" t="s">
        <v>4720</v>
      </c>
      <c r="H1113" t="s">
        <v>4721</v>
      </c>
      <c r="I1113">
        <v>28.01</v>
      </c>
    </row>
    <row r="1114" spans="1:9" ht="12.75">
      <c r="A1114">
        <v>1100</v>
      </c>
      <c r="B1114" t="s">
        <v>3539</v>
      </c>
      <c r="C1114" t="s">
        <v>5422</v>
      </c>
      <c r="D1114" t="s">
        <v>2780</v>
      </c>
      <c r="E1114" t="s">
        <v>2973</v>
      </c>
      <c r="F1114" t="str">
        <f>"60/147"</f>
        <v>60/147</v>
      </c>
      <c r="G1114" t="s">
        <v>459</v>
      </c>
      <c r="H1114" t="s">
        <v>4722</v>
      </c>
      <c r="I1114">
        <v>28.01</v>
      </c>
    </row>
    <row r="1115" spans="1:9" ht="12.75">
      <c r="A1115">
        <v>1101</v>
      </c>
      <c r="B1115" t="s">
        <v>2867</v>
      </c>
      <c r="C1115" t="s">
        <v>3205</v>
      </c>
      <c r="D1115" t="s">
        <v>2780</v>
      </c>
      <c r="E1115" t="s">
        <v>2818</v>
      </c>
      <c r="F1115" t="str">
        <f>"206/380"</f>
        <v>206/380</v>
      </c>
      <c r="G1115" t="s">
        <v>2693</v>
      </c>
      <c r="H1115" t="s">
        <v>4723</v>
      </c>
      <c r="I1115">
        <v>28.01</v>
      </c>
    </row>
    <row r="1116" spans="1:9" ht="12.75">
      <c r="A1116">
        <v>1102</v>
      </c>
      <c r="B1116" t="s">
        <v>7727</v>
      </c>
      <c r="C1116" t="s">
        <v>2840</v>
      </c>
      <c r="D1116" t="s">
        <v>2780</v>
      </c>
      <c r="E1116" t="s">
        <v>2818</v>
      </c>
      <c r="F1116" t="str">
        <f>"207/380"</f>
        <v>207/380</v>
      </c>
      <c r="G1116" t="s">
        <v>4882</v>
      </c>
      <c r="H1116" t="s">
        <v>4724</v>
      </c>
      <c r="I1116">
        <v>28</v>
      </c>
    </row>
    <row r="1117" spans="1:9" ht="12.75">
      <c r="A1117">
        <v>1103</v>
      </c>
      <c r="B1117" t="s">
        <v>4725</v>
      </c>
      <c r="C1117" t="s">
        <v>7381</v>
      </c>
      <c r="D1117" t="s">
        <v>2780</v>
      </c>
      <c r="E1117" t="s">
        <v>2818</v>
      </c>
      <c r="F1117" t="str">
        <f>"208/380"</f>
        <v>208/380</v>
      </c>
      <c r="G1117" t="s">
        <v>4714</v>
      </c>
      <c r="H1117" t="s">
        <v>4726</v>
      </c>
      <c r="I1117">
        <v>28</v>
      </c>
    </row>
    <row r="1118" spans="1:9" ht="12.75">
      <c r="A1118">
        <v>1104</v>
      </c>
      <c r="B1118" t="s">
        <v>4727</v>
      </c>
      <c r="C1118" t="s">
        <v>3057</v>
      </c>
      <c r="D1118" t="s">
        <v>2780</v>
      </c>
      <c r="E1118" t="s">
        <v>2973</v>
      </c>
      <c r="F1118" t="str">
        <f>"61/147"</f>
        <v>61/147</v>
      </c>
      <c r="G1118" t="s">
        <v>2889</v>
      </c>
      <c r="H1118" t="s">
        <v>4728</v>
      </c>
      <c r="I1118">
        <v>27.99</v>
      </c>
    </row>
    <row r="1119" spans="1:9" ht="12.75">
      <c r="A1119">
        <v>1105</v>
      </c>
      <c r="B1119" t="s">
        <v>4729</v>
      </c>
      <c r="C1119" t="s">
        <v>3445</v>
      </c>
      <c r="D1119" t="s">
        <v>2780</v>
      </c>
      <c r="E1119" t="s">
        <v>2823</v>
      </c>
      <c r="F1119" t="str">
        <f>"430/668"</f>
        <v>430/668</v>
      </c>
      <c r="G1119" t="s">
        <v>4730</v>
      </c>
      <c r="H1119" t="s">
        <v>4731</v>
      </c>
      <c r="I1119">
        <v>27.99</v>
      </c>
    </row>
    <row r="1120" spans="1:9" ht="12.75">
      <c r="A1120">
        <v>1106</v>
      </c>
      <c r="B1120" t="s">
        <v>4732</v>
      </c>
      <c r="C1120" t="s">
        <v>504</v>
      </c>
      <c r="D1120" t="s">
        <v>2780</v>
      </c>
      <c r="E1120" t="s">
        <v>2823</v>
      </c>
      <c r="F1120" t="str">
        <f>"431/668"</f>
        <v>431/668</v>
      </c>
      <c r="G1120" t="s">
        <v>369</v>
      </c>
      <c r="H1120" t="s">
        <v>4733</v>
      </c>
      <c r="I1120">
        <v>27.98</v>
      </c>
    </row>
    <row r="1121" spans="1:9" ht="12.75">
      <c r="A1121">
        <v>1107</v>
      </c>
      <c r="B1121" t="s">
        <v>5128</v>
      </c>
      <c r="C1121" t="s">
        <v>3286</v>
      </c>
      <c r="D1121" t="s">
        <v>2780</v>
      </c>
      <c r="E1121" t="s">
        <v>2799</v>
      </c>
      <c r="F1121" t="str">
        <f>"69/100"</f>
        <v>69/100</v>
      </c>
      <c r="G1121" t="s">
        <v>377</v>
      </c>
      <c r="H1121" t="s">
        <v>4734</v>
      </c>
      <c r="I1121">
        <v>27.97</v>
      </c>
    </row>
    <row r="1122" spans="1:9" ht="12.75">
      <c r="A1122">
        <v>1108</v>
      </c>
      <c r="B1122" t="s">
        <v>4735</v>
      </c>
      <c r="C1122" t="s">
        <v>2807</v>
      </c>
      <c r="D1122" t="s">
        <v>2780</v>
      </c>
      <c r="E1122" t="s">
        <v>2823</v>
      </c>
      <c r="F1122" t="str">
        <f>"432/668"</f>
        <v>432/668</v>
      </c>
      <c r="G1122" t="s">
        <v>1991</v>
      </c>
      <c r="H1122" t="s">
        <v>4736</v>
      </c>
      <c r="I1122">
        <v>27.97</v>
      </c>
    </row>
    <row r="1123" spans="1:9" ht="12.75">
      <c r="A1123">
        <v>1109</v>
      </c>
      <c r="B1123" t="s">
        <v>3378</v>
      </c>
      <c r="C1123" t="s">
        <v>4737</v>
      </c>
      <c r="D1123" t="s">
        <v>2780</v>
      </c>
      <c r="E1123" t="s">
        <v>2973</v>
      </c>
      <c r="F1123" t="str">
        <f>"62/147"</f>
        <v>62/147</v>
      </c>
      <c r="G1123" t="s">
        <v>3261</v>
      </c>
      <c r="H1123" t="s">
        <v>4738</v>
      </c>
      <c r="I1123">
        <v>27.96</v>
      </c>
    </row>
    <row r="1124" spans="1:9" ht="12.75">
      <c r="A1124">
        <v>1110</v>
      </c>
      <c r="B1124" t="s">
        <v>4739</v>
      </c>
      <c r="C1124" t="s">
        <v>2931</v>
      </c>
      <c r="D1124" t="s">
        <v>2780</v>
      </c>
      <c r="E1124" t="s">
        <v>2781</v>
      </c>
      <c r="F1124" t="str">
        <f>"248/354"</f>
        <v>248/354</v>
      </c>
      <c r="G1124" t="s">
        <v>3223</v>
      </c>
      <c r="H1124" t="s">
        <v>4740</v>
      </c>
      <c r="I1124">
        <v>27.96</v>
      </c>
    </row>
    <row r="1125" spans="1:9" ht="12.75">
      <c r="A1125">
        <v>1111</v>
      </c>
      <c r="B1125" t="s">
        <v>4741</v>
      </c>
      <c r="C1125" t="s">
        <v>2865</v>
      </c>
      <c r="D1125" t="s">
        <v>2780</v>
      </c>
      <c r="E1125" t="s">
        <v>2781</v>
      </c>
      <c r="F1125" t="str">
        <f>"249/354"</f>
        <v>249/354</v>
      </c>
      <c r="G1125" t="s">
        <v>1745</v>
      </c>
      <c r="H1125" t="s">
        <v>4742</v>
      </c>
      <c r="I1125">
        <v>27.95</v>
      </c>
    </row>
    <row r="1126" spans="1:9" ht="12.75">
      <c r="A1126">
        <v>1112</v>
      </c>
      <c r="B1126" t="s">
        <v>4743</v>
      </c>
      <c r="C1126" t="s">
        <v>696</v>
      </c>
      <c r="D1126" t="s">
        <v>2780</v>
      </c>
      <c r="E1126" t="s">
        <v>2818</v>
      </c>
      <c r="F1126" t="str">
        <f>"209/380"</f>
        <v>209/380</v>
      </c>
      <c r="G1126" t="s">
        <v>4744</v>
      </c>
      <c r="H1126" t="s">
        <v>4745</v>
      </c>
      <c r="I1126">
        <v>27.94</v>
      </c>
    </row>
    <row r="1127" spans="1:9" ht="12.75">
      <c r="A1127">
        <v>1113</v>
      </c>
      <c r="B1127" t="s">
        <v>4746</v>
      </c>
      <c r="C1127" t="s">
        <v>3438</v>
      </c>
      <c r="D1127" t="s">
        <v>2780</v>
      </c>
      <c r="E1127" t="s">
        <v>2818</v>
      </c>
      <c r="F1127" t="str">
        <f>"210/380"</f>
        <v>210/380</v>
      </c>
      <c r="G1127" t="s">
        <v>1991</v>
      </c>
      <c r="H1127" t="s">
        <v>4747</v>
      </c>
      <c r="I1127">
        <v>27.94</v>
      </c>
    </row>
    <row r="1128" spans="1:9" ht="12.75">
      <c r="A1128">
        <v>1114</v>
      </c>
      <c r="B1128" t="s">
        <v>4748</v>
      </c>
      <c r="C1128" t="s">
        <v>4749</v>
      </c>
      <c r="D1128" t="s">
        <v>2780</v>
      </c>
      <c r="E1128" t="s">
        <v>2818</v>
      </c>
      <c r="F1128" t="str">
        <f>"211/380"</f>
        <v>211/380</v>
      </c>
      <c r="G1128" t="s">
        <v>566</v>
      </c>
      <c r="H1128" t="s">
        <v>4750</v>
      </c>
      <c r="I1128">
        <v>27.92</v>
      </c>
    </row>
    <row r="1129" spans="1:9" ht="12.75">
      <c r="A1129">
        <v>1115</v>
      </c>
      <c r="B1129" t="s">
        <v>5465</v>
      </c>
      <c r="C1129" t="s">
        <v>2836</v>
      </c>
      <c r="D1129" t="s">
        <v>2780</v>
      </c>
      <c r="E1129" t="s">
        <v>2823</v>
      </c>
      <c r="F1129" t="str">
        <f>"433/668"</f>
        <v>433/668</v>
      </c>
      <c r="G1129" t="s">
        <v>122</v>
      </c>
      <c r="H1129" t="s">
        <v>4751</v>
      </c>
      <c r="I1129">
        <v>27.92</v>
      </c>
    </row>
    <row r="1130" spans="1:9" ht="12.75">
      <c r="A1130">
        <v>1116</v>
      </c>
      <c r="B1130" t="s">
        <v>4752</v>
      </c>
      <c r="C1130" t="s">
        <v>2857</v>
      </c>
      <c r="D1130" t="s">
        <v>2780</v>
      </c>
      <c r="E1130" t="s">
        <v>2823</v>
      </c>
      <c r="F1130" t="str">
        <f>"434/668"</f>
        <v>434/668</v>
      </c>
      <c r="G1130" t="s">
        <v>4066</v>
      </c>
      <c r="H1130" t="s">
        <v>4753</v>
      </c>
      <c r="I1130">
        <v>27.91</v>
      </c>
    </row>
    <row r="1131" spans="1:9" ht="12.75">
      <c r="A1131">
        <v>1117</v>
      </c>
      <c r="B1131" t="s">
        <v>4754</v>
      </c>
      <c r="C1131" t="s">
        <v>2830</v>
      </c>
      <c r="D1131" t="s">
        <v>2780</v>
      </c>
      <c r="E1131" t="s">
        <v>2781</v>
      </c>
      <c r="F1131" t="str">
        <f>"250/354"</f>
        <v>250/354</v>
      </c>
      <c r="G1131" t="s">
        <v>1145</v>
      </c>
      <c r="H1131" t="s">
        <v>4755</v>
      </c>
      <c r="I1131">
        <v>27.9</v>
      </c>
    </row>
    <row r="1132" spans="1:9" ht="12.75">
      <c r="A1132">
        <v>1118</v>
      </c>
      <c r="B1132" t="s">
        <v>4756</v>
      </c>
      <c r="C1132" t="s">
        <v>2081</v>
      </c>
      <c r="D1132" t="s">
        <v>2780</v>
      </c>
      <c r="E1132" t="s">
        <v>2781</v>
      </c>
      <c r="F1132" t="str">
        <f>"251/354"</f>
        <v>251/354</v>
      </c>
      <c r="G1132" t="s">
        <v>2936</v>
      </c>
      <c r="H1132" t="s">
        <v>4757</v>
      </c>
      <c r="I1132">
        <v>27.89</v>
      </c>
    </row>
    <row r="1133" spans="1:9" ht="12.75">
      <c r="A1133">
        <v>1119</v>
      </c>
      <c r="B1133" t="s">
        <v>4758</v>
      </c>
      <c r="C1133" t="s">
        <v>504</v>
      </c>
      <c r="D1133" t="s">
        <v>2780</v>
      </c>
      <c r="E1133" t="s">
        <v>2818</v>
      </c>
      <c r="F1133" t="str">
        <f>"212/380"</f>
        <v>212/380</v>
      </c>
      <c r="G1133" t="s">
        <v>3338</v>
      </c>
      <c r="H1133" t="s">
        <v>4759</v>
      </c>
      <c r="I1133">
        <v>27.88</v>
      </c>
    </row>
    <row r="1134" spans="1:9" ht="12.75">
      <c r="A1134">
        <v>1120</v>
      </c>
      <c r="B1134" t="s">
        <v>4760</v>
      </c>
      <c r="C1134" t="s">
        <v>3292</v>
      </c>
      <c r="D1134" t="s">
        <v>2780</v>
      </c>
      <c r="E1134" t="s">
        <v>2823</v>
      </c>
      <c r="F1134" t="str">
        <f>"435/668"</f>
        <v>435/668</v>
      </c>
      <c r="G1134" t="s">
        <v>5000</v>
      </c>
      <c r="H1134" t="s">
        <v>4761</v>
      </c>
      <c r="I1134">
        <v>27.87</v>
      </c>
    </row>
    <row r="1135" spans="1:9" ht="12.75">
      <c r="A1135">
        <v>1121</v>
      </c>
      <c r="B1135" t="s">
        <v>2525</v>
      </c>
      <c r="C1135" t="s">
        <v>2814</v>
      </c>
      <c r="D1135" t="s">
        <v>2780</v>
      </c>
      <c r="E1135" t="s">
        <v>2823</v>
      </c>
      <c r="F1135" t="str">
        <f>"436/668"</f>
        <v>436/668</v>
      </c>
      <c r="G1135" t="s">
        <v>4762</v>
      </c>
      <c r="H1135" t="s">
        <v>4763</v>
      </c>
      <c r="I1135">
        <v>27.87</v>
      </c>
    </row>
    <row r="1136" spans="1:9" ht="12.75">
      <c r="A1136">
        <v>1122</v>
      </c>
      <c r="B1136" t="s">
        <v>4764</v>
      </c>
      <c r="C1136" t="s">
        <v>3633</v>
      </c>
      <c r="D1136" t="s">
        <v>2780</v>
      </c>
      <c r="E1136" t="s">
        <v>2823</v>
      </c>
      <c r="F1136" t="str">
        <f>"437/668"</f>
        <v>437/668</v>
      </c>
      <c r="G1136" t="s">
        <v>5000</v>
      </c>
      <c r="H1136" t="s">
        <v>4765</v>
      </c>
      <c r="I1136">
        <v>27.87</v>
      </c>
    </row>
    <row r="1137" spans="1:9" ht="12.75">
      <c r="A1137">
        <v>1123</v>
      </c>
      <c r="B1137" t="s">
        <v>4766</v>
      </c>
      <c r="C1137" t="s">
        <v>2963</v>
      </c>
      <c r="D1137" t="s">
        <v>2780</v>
      </c>
      <c r="E1137" t="s">
        <v>2823</v>
      </c>
      <c r="F1137" t="str">
        <f>"438/668"</f>
        <v>438/668</v>
      </c>
      <c r="G1137" t="s">
        <v>4767</v>
      </c>
      <c r="H1137" t="s">
        <v>4768</v>
      </c>
      <c r="I1137">
        <v>27.87</v>
      </c>
    </row>
    <row r="1138" spans="1:9" ht="12.75">
      <c r="A1138">
        <v>1124</v>
      </c>
      <c r="B1138" t="s">
        <v>4769</v>
      </c>
      <c r="C1138" t="s">
        <v>3286</v>
      </c>
      <c r="D1138" t="s">
        <v>2780</v>
      </c>
      <c r="E1138" t="s">
        <v>2823</v>
      </c>
      <c r="F1138" t="str">
        <f>"439/668"</f>
        <v>439/668</v>
      </c>
      <c r="G1138" t="s">
        <v>4767</v>
      </c>
      <c r="H1138" t="s">
        <v>4770</v>
      </c>
      <c r="I1138">
        <v>27.86</v>
      </c>
    </row>
    <row r="1139" spans="1:9" ht="12.75">
      <c r="A1139">
        <v>1125</v>
      </c>
      <c r="B1139" t="s">
        <v>4043</v>
      </c>
      <c r="C1139" t="s">
        <v>2840</v>
      </c>
      <c r="D1139" t="s">
        <v>2780</v>
      </c>
      <c r="E1139" t="s">
        <v>2823</v>
      </c>
      <c r="F1139" t="str">
        <f>"440/668"</f>
        <v>440/668</v>
      </c>
      <c r="G1139" t="s">
        <v>4767</v>
      </c>
      <c r="H1139" t="s">
        <v>4771</v>
      </c>
      <c r="I1139">
        <v>27.86</v>
      </c>
    </row>
    <row r="1140" spans="1:9" ht="12.75">
      <c r="A1140">
        <v>1126</v>
      </c>
      <c r="B1140" t="s">
        <v>2254</v>
      </c>
      <c r="C1140" t="s">
        <v>3286</v>
      </c>
      <c r="D1140" t="s">
        <v>2780</v>
      </c>
      <c r="E1140" t="s">
        <v>2818</v>
      </c>
      <c r="F1140" t="str">
        <f>"213/380"</f>
        <v>213/380</v>
      </c>
      <c r="G1140" t="s">
        <v>1104</v>
      </c>
      <c r="H1140" t="s">
        <v>4772</v>
      </c>
      <c r="I1140">
        <v>27.86</v>
      </c>
    </row>
    <row r="1141" spans="1:9" ht="12.75">
      <c r="A1141">
        <v>1127</v>
      </c>
      <c r="B1141" t="s">
        <v>4773</v>
      </c>
      <c r="C1141" t="s">
        <v>1633</v>
      </c>
      <c r="D1141" t="s">
        <v>3031</v>
      </c>
      <c r="E1141" t="s">
        <v>3244</v>
      </c>
      <c r="F1141" t="str">
        <f>"19/40"</f>
        <v>19/40</v>
      </c>
      <c r="G1141" t="s">
        <v>1104</v>
      </c>
      <c r="H1141" t="s">
        <v>4774</v>
      </c>
      <c r="I1141">
        <v>27.86</v>
      </c>
    </row>
    <row r="1142" spans="1:9" ht="12.75">
      <c r="A1142">
        <v>1128</v>
      </c>
      <c r="B1142" t="s">
        <v>3887</v>
      </c>
      <c r="C1142" t="s">
        <v>2963</v>
      </c>
      <c r="D1142" t="s">
        <v>2780</v>
      </c>
      <c r="E1142" t="s">
        <v>2823</v>
      </c>
      <c r="F1142" t="str">
        <f>"441/668"</f>
        <v>441/668</v>
      </c>
      <c r="G1142" t="s">
        <v>4767</v>
      </c>
      <c r="H1142" t="s">
        <v>4775</v>
      </c>
      <c r="I1142">
        <v>27.86</v>
      </c>
    </row>
    <row r="1143" spans="1:9" ht="12.75">
      <c r="A1143">
        <v>1129</v>
      </c>
      <c r="B1143" t="s">
        <v>4776</v>
      </c>
      <c r="C1143" t="s">
        <v>3057</v>
      </c>
      <c r="D1143" t="s">
        <v>2780</v>
      </c>
      <c r="E1143" t="s">
        <v>2818</v>
      </c>
      <c r="F1143" t="str">
        <f>"214/380"</f>
        <v>214/380</v>
      </c>
      <c r="G1143" t="s">
        <v>4767</v>
      </c>
      <c r="H1143" t="s">
        <v>4777</v>
      </c>
      <c r="I1143">
        <v>27.86</v>
      </c>
    </row>
    <row r="1144" spans="1:9" ht="12.75">
      <c r="A1144">
        <v>1130</v>
      </c>
      <c r="B1144" t="s">
        <v>4778</v>
      </c>
      <c r="C1144" t="s">
        <v>3087</v>
      </c>
      <c r="D1144" t="s">
        <v>2780</v>
      </c>
      <c r="E1144" t="s">
        <v>2823</v>
      </c>
      <c r="F1144" t="str">
        <f>"442/668"</f>
        <v>442/668</v>
      </c>
      <c r="G1144" t="s">
        <v>7553</v>
      </c>
      <c r="H1144" t="s">
        <v>4779</v>
      </c>
      <c r="I1144">
        <v>27.85</v>
      </c>
    </row>
    <row r="1145" spans="1:9" ht="12.75">
      <c r="A1145">
        <v>1131</v>
      </c>
      <c r="B1145" t="s">
        <v>4780</v>
      </c>
      <c r="C1145" t="s">
        <v>3114</v>
      </c>
      <c r="D1145" t="s">
        <v>2780</v>
      </c>
      <c r="E1145" t="s">
        <v>2823</v>
      </c>
      <c r="F1145" t="str">
        <f>"443/668"</f>
        <v>443/668</v>
      </c>
      <c r="G1145" t="s">
        <v>4767</v>
      </c>
      <c r="H1145" t="s">
        <v>4781</v>
      </c>
      <c r="I1145">
        <v>27.85</v>
      </c>
    </row>
    <row r="1146" spans="1:9" ht="12.75">
      <c r="A1146">
        <v>1132</v>
      </c>
      <c r="B1146" t="s">
        <v>4782</v>
      </c>
      <c r="C1146" t="s">
        <v>4749</v>
      </c>
      <c r="D1146" t="s">
        <v>2780</v>
      </c>
      <c r="E1146" t="s">
        <v>2823</v>
      </c>
      <c r="F1146" t="str">
        <f>"444/668"</f>
        <v>444/668</v>
      </c>
      <c r="G1146" t="s">
        <v>4767</v>
      </c>
      <c r="H1146" t="s">
        <v>4783</v>
      </c>
      <c r="I1146">
        <v>27.85</v>
      </c>
    </row>
    <row r="1147" spans="1:9" ht="12.75">
      <c r="A1147">
        <v>1133</v>
      </c>
      <c r="B1147" t="s">
        <v>4784</v>
      </c>
      <c r="C1147" t="s">
        <v>2836</v>
      </c>
      <c r="D1147" t="s">
        <v>2780</v>
      </c>
      <c r="E1147" t="s">
        <v>2818</v>
      </c>
      <c r="F1147" t="str">
        <f>"215/380"</f>
        <v>215/380</v>
      </c>
      <c r="G1147" t="s">
        <v>4767</v>
      </c>
      <c r="H1147" t="s">
        <v>4785</v>
      </c>
      <c r="I1147">
        <v>27.85</v>
      </c>
    </row>
    <row r="1148" spans="1:9" ht="12.75">
      <c r="A1148">
        <v>1134</v>
      </c>
      <c r="B1148" t="s">
        <v>3975</v>
      </c>
      <c r="C1148" t="s">
        <v>2931</v>
      </c>
      <c r="D1148" t="s">
        <v>2780</v>
      </c>
      <c r="E1148" t="s">
        <v>2781</v>
      </c>
      <c r="F1148" t="str">
        <f>"252/354"</f>
        <v>252/354</v>
      </c>
      <c r="G1148" t="s">
        <v>624</v>
      </c>
      <c r="H1148" t="s">
        <v>4786</v>
      </c>
      <c r="I1148">
        <v>27.84</v>
      </c>
    </row>
    <row r="1149" spans="1:9" ht="12.75">
      <c r="A1149">
        <v>1135</v>
      </c>
      <c r="B1149" t="s">
        <v>4787</v>
      </c>
      <c r="C1149" t="s">
        <v>2836</v>
      </c>
      <c r="D1149" t="s">
        <v>2780</v>
      </c>
      <c r="E1149" t="s">
        <v>2818</v>
      </c>
      <c r="F1149" t="str">
        <f>"216/380"</f>
        <v>216/380</v>
      </c>
      <c r="G1149" t="s">
        <v>3468</v>
      </c>
      <c r="H1149" t="s">
        <v>4788</v>
      </c>
      <c r="I1149">
        <v>27.83</v>
      </c>
    </row>
    <row r="1150" spans="1:9" ht="12.75">
      <c r="A1150">
        <v>1136</v>
      </c>
      <c r="B1150" t="s">
        <v>4789</v>
      </c>
      <c r="C1150" t="s">
        <v>3017</v>
      </c>
      <c r="D1150" t="s">
        <v>2780</v>
      </c>
      <c r="E1150" t="s">
        <v>2823</v>
      </c>
      <c r="F1150" t="str">
        <f>"445/668"</f>
        <v>445/668</v>
      </c>
      <c r="G1150" t="s">
        <v>4790</v>
      </c>
      <c r="H1150" t="s">
        <v>4791</v>
      </c>
      <c r="I1150">
        <v>27.83</v>
      </c>
    </row>
    <row r="1151" spans="1:9" ht="12.75">
      <c r="A1151">
        <v>1137</v>
      </c>
      <c r="B1151" t="s">
        <v>4792</v>
      </c>
      <c r="C1151" t="s">
        <v>1160</v>
      </c>
      <c r="D1151" t="s">
        <v>2780</v>
      </c>
      <c r="E1151" t="s">
        <v>2973</v>
      </c>
      <c r="F1151" t="str">
        <f>"63/147"</f>
        <v>63/147</v>
      </c>
      <c r="G1151" t="s">
        <v>2643</v>
      </c>
      <c r="H1151" t="s">
        <v>4793</v>
      </c>
      <c r="I1151">
        <v>27.83</v>
      </c>
    </row>
    <row r="1152" spans="1:9" ht="12.75">
      <c r="A1152">
        <v>1138</v>
      </c>
      <c r="B1152" t="s">
        <v>2097</v>
      </c>
      <c r="C1152" t="s">
        <v>2810</v>
      </c>
      <c r="D1152" t="s">
        <v>2780</v>
      </c>
      <c r="E1152" t="s">
        <v>2799</v>
      </c>
      <c r="F1152" t="str">
        <f>"70/100"</f>
        <v>70/100</v>
      </c>
      <c r="G1152" t="s">
        <v>4794</v>
      </c>
      <c r="H1152" t="s">
        <v>4795</v>
      </c>
      <c r="I1152">
        <v>27.83</v>
      </c>
    </row>
    <row r="1153" spans="1:9" ht="12.75">
      <c r="A1153">
        <v>1139</v>
      </c>
      <c r="B1153" t="s">
        <v>3904</v>
      </c>
      <c r="C1153" t="s">
        <v>2966</v>
      </c>
      <c r="D1153" t="s">
        <v>2780</v>
      </c>
      <c r="E1153" t="s">
        <v>2823</v>
      </c>
      <c r="F1153" t="str">
        <f>"446/668"</f>
        <v>446/668</v>
      </c>
      <c r="G1153" t="s">
        <v>3468</v>
      </c>
      <c r="H1153" t="s">
        <v>4796</v>
      </c>
      <c r="I1153">
        <v>27.82</v>
      </c>
    </row>
    <row r="1154" spans="1:9" ht="12.75">
      <c r="A1154">
        <v>1140</v>
      </c>
      <c r="B1154" t="s">
        <v>4797</v>
      </c>
      <c r="C1154" t="s">
        <v>615</v>
      </c>
      <c r="D1154" t="s">
        <v>2780</v>
      </c>
      <c r="E1154" t="s">
        <v>2818</v>
      </c>
      <c r="F1154" t="str">
        <f>"217/380"</f>
        <v>217/380</v>
      </c>
      <c r="G1154" t="s">
        <v>3261</v>
      </c>
      <c r="H1154" t="s">
        <v>4798</v>
      </c>
      <c r="I1154">
        <v>27.81</v>
      </c>
    </row>
    <row r="1155" spans="1:9" ht="12.75">
      <c r="A1155">
        <v>1141</v>
      </c>
      <c r="B1155" t="s">
        <v>4799</v>
      </c>
      <c r="C1155" t="s">
        <v>4800</v>
      </c>
      <c r="D1155" t="s">
        <v>3031</v>
      </c>
      <c r="E1155" t="s">
        <v>3244</v>
      </c>
      <c r="F1155" t="str">
        <f>"20/40"</f>
        <v>20/40</v>
      </c>
      <c r="G1155" t="s">
        <v>2831</v>
      </c>
      <c r="H1155" t="s">
        <v>4801</v>
      </c>
      <c r="I1155">
        <v>27.81</v>
      </c>
    </row>
    <row r="1156" spans="1:9" ht="12.75">
      <c r="A1156">
        <v>1142</v>
      </c>
      <c r="B1156" t="s">
        <v>1936</v>
      </c>
      <c r="C1156" t="s">
        <v>293</v>
      </c>
      <c r="D1156" t="s">
        <v>3031</v>
      </c>
      <c r="E1156" t="s">
        <v>3032</v>
      </c>
      <c r="F1156" t="str">
        <f>"17/25"</f>
        <v>17/25</v>
      </c>
      <c r="G1156" t="s">
        <v>2804</v>
      </c>
      <c r="H1156" t="s">
        <v>4802</v>
      </c>
      <c r="I1156">
        <v>27.8</v>
      </c>
    </row>
    <row r="1157" spans="1:9" ht="12.75">
      <c r="A1157">
        <v>1143</v>
      </c>
      <c r="B1157" t="s">
        <v>467</v>
      </c>
      <c r="C1157" t="s">
        <v>84</v>
      </c>
      <c r="D1157" t="s">
        <v>2780</v>
      </c>
      <c r="E1157" t="s">
        <v>2973</v>
      </c>
      <c r="F1157" t="str">
        <f>"64/147"</f>
        <v>64/147</v>
      </c>
      <c r="G1157" t="s">
        <v>7487</v>
      </c>
      <c r="H1157" t="s">
        <v>4803</v>
      </c>
      <c r="I1157">
        <v>27.8</v>
      </c>
    </row>
    <row r="1158" spans="1:9" ht="12.75">
      <c r="A1158">
        <v>1144</v>
      </c>
      <c r="B1158" t="s">
        <v>4804</v>
      </c>
      <c r="C1158" t="s">
        <v>3406</v>
      </c>
      <c r="D1158" t="s">
        <v>2780</v>
      </c>
      <c r="E1158" t="s">
        <v>2818</v>
      </c>
      <c r="F1158" t="str">
        <f>"218/380"</f>
        <v>218/380</v>
      </c>
      <c r="G1158" t="s">
        <v>3060</v>
      </c>
      <c r="H1158" t="s">
        <v>4805</v>
      </c>
      <c r="I1158">
        <v>27.8</v>
      </c>
    </row>
    <row r="1159" spans="1:9" ht="12.75">
      <c r="A1159">
        <v>1145</v>
      </c>
      <c r="B1159" t="s">
        <v>4806</v>
      </c>
      <c r="C1159" t="s">
        <v>3087</v>
      </c>
      <c r="D1159" t="s">
        <v>2780</v>
      </c>
      <c r="E1159" t="s">
        <v>2818</v>
      </c>
      <c r="F1159" t="str">
        <f>"219/380"</f>
        <v>219/380</v>
      </c>
      <c r="G1159" t="s">
        <v>1679</v>
      </c>
      <c r="H1159" t="s">
        <v>4807</v>
      </c>
      <c r="I1159">
        <v>27.8</v>
      </c>
    </row>
    <row r="1160" spans="1:9" ht="12.75">
      <c r="A1160">
        <v>1146</v>
      </c>
      <c r="B1160" t="s">
        <v>3511</v>
      </c>
      <c r="C1160" t="s">
        <v>3421</v>
      </c>
      <c r="D1160" t="s">
        <v>2780</v>
      </c>
      <c r="E1160" t="s">
        <v>2973</v>
      </c>
      <c r="F1160" t="str">
        <f>"65/147"</f>
        <v>65/147</v>
      </c>
      <c r="G1160" t="s">
        <v>4808</v>
      </c>
      <c r="H1160" t="s">
        <v>4809</v>
      </c>
      <c r="I1160">
        <v>27.78</v>
      </c>
    </row>
    <row r="1161" spans="1:9" ht="12.75">
      <c r="A1161">
        <v>1147</v>
      </c>
      <c r="B1161" t="s">
        <v>4810</v>
      </c>
      <c r="C1161" t="s">
        <v>2942</v>
      </c>
      <c r="D1161" t="s">
        <v>2780</v>
      </c>
      <c r="E1161" t="s">
        <v>2786</v>
      </c>
      <c r="F1161" t="str">
        <f>"34/44"</f>
        <v>34/44</v>
      </c>
      <c r="G1161" t="s">
        <v>4678</v>
      </c>
      <c r="H1161" t="s">
        <v>4811</v>
      </c>
      <c r="I1161">
        <v>27.77</v>
      </c>
    </row>
    <row r="1162" spans="1:9" ht="12.75">
      <c r="A1162">
        <v>1148</v>
      </c>
      <c r="B1162" t="s">
        <v>4672</v>
      </c>
      <c r="C1162" t="s">
        <v>2861</v>
      </c>
      <c r="D1162" t="s">
        <v>2780</v>
      </c>
      <c r="E1162" t="s">
        <v>2818</v>
      </c>
      <c r="F1162" t="str">
        <f>"220/380"</f>
        <v>220/380</v>
      </c>
      <c r="G1162" t="s">
        <v>1104</v>
      </c>
      <c r="H1162" t="s">
        <v>4812</v>
      </c>
      <c r="I1162">
        <v>27.77</v>
      </c>
    </row>
    <row r="1163" spans="1:9" ht="12.75">
      <c r="A1163">
        <v>1149</v>
      </c>
      <c r="B1163" t="s">
        <v>4813</v>
      </c>
      <c r="C1163" t="s">
        <v>4814</v>
      </c>
      <c r="D1163" t="s">
        <v>3031</v>
      </c>
      <c r="E1163" t="s">
        <v>3244</v>
      </c>
      <c r="F1163" t="str">
        <f>"21/40"</f>
        <v>21/40</v>
      </c>
      <c r="G1163" t="s">
        <v>3067</v>
      </c>
      <c r="H1163" t="s">
        <v>4815</v>
      </c>
      <c r="I1163">
        <v>27.77</v>
      </c>
    </row>
    <row r="1164" spans="1:9" ht="12.75">
      <c r="A1164">
        <v>1150</v>
      </c>
      <c r="B1164" t="s">
        <v>4816</v>
      </c>
      <c r="C1164" t="s">
        <v>470</v>
      </c>
      <c r="D1164" t="s">
        <v>2780</v>
      </c>
      <c r="E1164" t="s">
        <v>2973</v>
      </c>
      <c r="F1164" t="str">
        <f>"66/147"</f>
        <v>66/147</v>
      </c>
      <c r="G1164" t="s">
        <v>4630</v>
      </c>
      <c r="H1164" t="s">
        <v>4817</v>
      </c>
      <c r="I1164">
        <v>27.75</v>
      </c>
    </row>
    <row r="1165" spans="1:9" ht="12.75">
      <c r="A1165">
        <v>1151</v>
      </c>
      <c r="B1165" t="s">
        <v>5538</v>
      </c>
      <c r="C1165" t="s">
        <v>2865</v>
      </c>
      <c r="D1165" t="s">
        <v>2780</v>
      </c>
      <c r="E1165" t="s">
        <v>2786</v>
      </c>
      <c r="F1165" t="str">
        <f>"35/44"</f>
        <v>35/44</v>
      </c>
      <c r="G1165" t="s">
        <v>7000</v>
      </c>
      <c r="H1165" t="s">
        <v>4818</v>
      </c>
      <c r="I1165">
        <v>27.75</v>
      </c>
    </row>
    <row r="1166" spans="1:9" ht="12.75">
      <c r="A1166">
        <v>1152</v>
      </c>
      <c r="B1166" t="s">
        <v>1068</v>
      </c>
      <c r="C1166" t="s">
        <v>2779</v>
      </c>
      <c r="D1166" t="s">
        <v>2780</v>
      </c>
      <c r="E1166" t="s">
        <v>2818</v>
      </c>
      <c r="F1166" t="str">
        <f>"221/380"</f>
        <v>221/380</v>
      </c>
      <c r="G1166" t="s">
        <v>3067</v>
      </c>
      <c r="H1166" t="s">
        <v>4819</v>
      </c>
      <c r="I1166">
        <v>27.75</v>
      </c>
    </row>
    <row r="1167" spans="1:9" ht="12.75">
      <c r="A1167">
        <v>1153</v>
      </c>
      <c r="B1167" t="s">
        <v>4820</v>
      </c>
      <c r="C1167" t="s">
        <v>2942</v>
      </c>
      <c r="D1167" t="s">
        <v>2780</v>
      </c>
      <c r="E1167" t="s">
        <v>2973</v>
      </c>
      <c r="F1167" t="str">
        <f>"67/147"</f>
        <v>67/147</v>
      </c>
      <c r="G1167" t="s">
        <v>4821</v>
      </c>
      <c r="H1167" t="s">
        <v>4822</v>
      </c>
      <c r="I1167">
        <v>27.74</v>
      </c>
    </row>
    <row r="1168" spans="1:9" ht="12.75">
      <c r="A1168">
        <v>1154</v>
      </c>
      <c r="B1168" t="s">
        <v>4823</v>
      </c>
      <c r="C1168" t="s">
        <v>7895</v>
      </c>
      <c r="D1168" t="s">
        <v>2780</v>
      </c>
      <c r="E1168" t="s">
        <v>2973</v>
      </c>
      <c r="F1168" t="str">
        <f>"68/147"</f>
        <v>68/147</v>
      </c>
      <c r="G1168" t="s">
        <v>861</v>
      </c>
      <c r="H1168" t="s">
        <v>4824</v>
      </c>
      <c r="I1168">
        <v>27.71</v>
      </c>
    </row>
    <row r="1169" spans="1:9" ht="12.75">
      <c r="A1169">
        <v>1155</v>
      </c>
      <c r="B1169" t="s">
        <v>629</v>
      </c>
      <c r="C1169" t="s">
        <v>4038</v>
      </c>
      <c r="D1169" t="s">
        <v>2780</v>
      </c>
      <c r="E1169" t="s">
        <v>2818</v>
      </c>
      <c r="F1169" t="str">
        <f>"222/380"</f>
        <v>222/380</v>
      </c>
      <c r="G1169" t="s">
        <v>4825</v>
      </c>
      <c r="H1169" t="s">
        <v>4826</v>
      </c>
      <c r="I1169">
        <v>27.7</v>
      </c>
    </row>
    <row r="1170" spans="1:9" ht="12.75">
      <c r="A1170">
        <v>1156</v>
      </c>
      <c r="B1170" t="s">
        <v>3378</v>
      </c>
      <c r="C1170" t="s">
        <v>2826</v>
      </c>
      <c r="D1170" t="s">
        <v>2780</v>
      </c>
      <c r="E1170" t="s">
        <v>2823</v>
      </c>
      <c r="F1170" t="str">
        <f>"447/668"</f>
        <v>447/668</v>
      </c>
      <c r="G1170" t="s">
        <v>2858</v>
      </c>
      <c r="H1170" t="s">
        <v>4827</v>
      </c>
      <c r="I1170">
        <v>27.67</v>
      </c>
    </row>
    <row r="1171" spans="1:9" ht="12.75">
      <c r="A1171">
        <v>1157</v>
      </c>
      <c r="B1171" t="s">
        <v>4828</v>
      </c>
      <c r="C1171" t="s">
        <v>2966</v>
      </c>
      <c r="D1171" t="s">
        <v>2780</v>
      </c>
      <c r="E1171" t="s">
        <v>2781</v>
      </c>
      <c r="F1171" t="str">
        <f>"253/354"</f>
        <v>253/354</v>
      </c>
      <c r="G1171" t="s">
        <v>2858</v>
      </c>
      <c r="H1171" t="s">
        <v>4829</v>
      </c>
      <c r="I1171">
        <v>27.67</v>
      </c>
    </row>
    <row r="1172" spans="1:9" ht="12.75">
      <c r="A1172">
        <v>1158</v>
      </c>
      <c r="B1172" t="s">
        <v>4830</v>
      </c>
      <c r="C1172" t="s">
        <v>1989</v>
      </c>
      <c r="D1172" t="s">
        <v>3031</v>
      </c>
      <c r="E1172" t="s">
        <v>3244</v>
      </c>
      <c r="F1172" t="str">
        <f>"22/40"</f>
        <v>22/40</v>
      </c>
      <c r="G1172" t="s">
        <v>4831</v>
      </c>
      <c r="H1172" t="s">
        <v>4832</v>
      </c>
      <c r="I1172">
        <v>27.67</v>
      </c>
    </row>
    <row r="1173" spans="1:9" ht="12.75">
      <c r="A1173">
        <v>1159</v>
      </c>
      <c r="B1173" t="s">
        <v>4833</v>
      </c>
      <c r="C1173" t="s">
        <v>84</v>
      </c>
      <c r="D1173" t="s">
        <v>2780</v>
      </c>
      <c r="E1173" t="s">
        <v>2823</v>
      </c>
      <c r="F1173" t="str">
        <f>"448/668"</f>
        <v>448/668</v>
      </c>
      <c r="G1173" t="s">
        <v>4834</v>
      </c>
      <c r="H1173" t="s">
        <v>4835</v>
      </c>
      <c r="I1173">
        <v>27.66</v>
      </c>
    </row>
    <row r="1174" spans="1:9" ht="12.75">
      <c r="A1174">
        <v>1160</v>
      </c>
      <c r="B1174" t="s">
        <v>296</v>
      </c>
      <c r="C1174" t="s">
        <v>2861</v>
      </c>
      <c r="D1174" t="s">
        <v>2780</v>
      </c>
      <c r="E1174" t="s">
        <v>2823</v>
      </c>
      <c r="F1174" t="str">
        <f>"449/668"</f>
        <v>449/668</v>
      </c>
      <c r="G1174" t="s">
        <v>3555</v>
      </c>
      <c r="H1174" t="s">
        <v>4836</v>
      </c>
      <c r="I1174">
        <v>27.64</v>
      </c>
    </row>
    <row r="1175" spans="1:9" ht="12.75">
      <c r="A1175">
        <v>1161</v>
      </c>
      <c r="B1175" t="s">
        <v>7412</v>
      </c>
      <c r="C1175" t="s">
        <v>2378</v>
      </c>
      <c r="D1175" t="s">
        <v>3031</v>
      </c>
      <c r="E1175" t="s">
        <v>3244</v>
      </c>
      <c r="F1175" t="str">
        <f>"23/40"</f>
        <v>23/40</v>
      </c>
      <c r="G1175" t="s">
        <v>2889</v>
      </c>
      <c r="H1175" t="s">
        <v>4837</v>
      </c>
      <c r="I1175">
        <v>27.64</v>
      </c>
    </row>
    <row r="1176" spans="1:9" ht="12.75">
      <c r="A1176">
        <v>1162</v>
      </c>
      <c r="B1176" t="s">
        <v>4838</v>
      </c>
      <c r="C1176" t="s">
        <v>3045</v>
      </c>
      <c r="D1176" t="s">
        <v>2780</v>
      </c>
      <c r="E1176" t="s">
        <v>2823</v>
      </c>
      <c r="F1176" t="str">
        <f>"450/668"</f>
        <v>450/668</v>
      </c>
      <c r="G1176" t="s">
        <v>2889</v>
      </c>
      <c r="H1176" t="s">
        <v>4839</v>
      </c>
      <c r="I1176">
        <v>27.64</v>
      </c>
    </row>
    <row r="1177" spans="1:9" ht="12.75">
      <c r="A1177">
        <v>1163</v>
      </c>
      <c r="B1177" t="s">
        <v>4840</v>
      </c>
      <c r="C1177" t="s">
        <v>43</v>
      </c>
      <c r="D1177" t="s">
        <v>2780</v>
      </c>
      <c r="E1177" t="s">
        <v>2818</v>
      </c>
      <c r="F1177" t="str">
        <f>"223/380"</f>
        <v>223/380</v>
      </c>
      <c r="G1177" t="s">
        <v>5214</v>
      </c>
      <c r="H1177" t="s">
        <v>4841</v>
      </c>
      <c r="I1177">
        <v>27.63</v>
      </c>
    </row>
    <row r="1178" spans="1:9" ht="12.75">
      <c r="A1178">
        <v>1164</v>
      </c>
      <c r="B1178" t="s">
        <v>4842</v>
      </c>
      <c r="C1178" t="s">
        <v>2857</v>
      </c>
      <c r="D1178" t="s">
        <v>2780</v>
      </c>
      <c r="E1178" t="s">
        <v>2823</v>
      </c>
      <c r="F1178" t="str">
        <f>"451/668"</f>
        <v>451/668</v>
      </c>
      <c r="G1178" t="s">
        <v>3152</v>
      </c>
      <c r="H1178" t="s">
        <v>4843</v>
      </c>
      <c r="I1178">
        <v>27.62</v>
      </c>
    </row>
    <row r="1179" spans="1:9" ht="12.75">
      <c r="A1179">
        <v>1165</v>
      </c>
      <c r="B1179" t="s">
        <v>445</v>
      </c>
      <c r="C1179" t="s">
        <v>3594</v>
      </c>
      <c r="D1179" t="s">
        <v>2780</v>
      </c>
      <c r="E1179" t="s">
        <v>2818</v>
      </c>
      <c r="F1179" t="str">
        <f>"224/380"</f>
        <v>224/380</v>
      </c>
      <c r="G1179" t="s">
        <v>2896</v>
      </c>
      <c r="H1179" t="s">
        <v>4844</v>
      </c>
      <c r="I1179">
        <v>27.62</v>
      </c>
    </row>
    <row r="1180" spans="1:9" ht="12.75">
      <c r="A1180">
        <v>1166</v>
      </c>
      <c r="B1180" t="s">
        <v>4845</v>
      </c>
      <c r="C1180" t="s">
        <v>2865</v>
      </c>
      <c r="D1180" t="s">
        <v>2780</v>
      </c>
      <c r="E1180" t="s">
        <v>2823</v>
      </c>
      <c r="F1180" t="str">
        <f>"452/668"</f>
        <v>452/668</v>
      </c>
      <c r="G1180" t="s">
        <v>3468</v>
      </c>
      <c r="H1180" t="s">
        <v>4846</v>
      </c>
      <c r="I1180">
        <v>27.61</v>
      </c>
    </row>
    <row r="1181" spans="1:9" ht="12.75">
      <c r="A1181">
        <v>1167</v>
      </c>
      <c r="B1181" t="s">
        <v>4847</v>
      </c>
      <c r="C1181" t="s">
        <v>2830</v>
      </c>
      <c r="D1181" t="s">
        <v>2780</v>
      </c>
      <c r="E1181" t="s">
        <v>2823</v>
      </c>
      <c r="F1181" t="str">
        <f>"453/668"</f>
        <v>453/668</v>
      </c>
      <c r="G1181" t="s">
        <v>4966</v>
      </c>
      <c r="H1181" t="s">
        <v>4848</v>
      </c>
      <c r="I1181">
        <v>27.61</v>
      </c>
    </row>
    <row r="1182" spans="1:9" ht="12.75">
      <c r="A1182">
        <v>1168</v>
      </c>
      <c r="B1182" t="s">
        <v>4849</v>
      </c>
      <c r="C1182" t="s">
        <v>2886</v>
      </c>
      <c r="D1182" t="s">
        <v>2780</v>
      </c>
      <c r="E1182" t="s">
        <v>2781</v>
      </c>
      <c r="F1182" t="str">
        <f>"254/354"</f>
        <v>254/354</v>
      </c>
      <c r="G1182" t="s">
        <v>2804</v>
      </c>
      <c r="H1182" t="s">
        <v>4850</v>
      </c>
      <c r="I1182">
        <v>27.61</v>
      </c>
    </row>
    <row r="1183" spans="1:9" ht="12.75">
      <c r="A1183">
        <v>1169</v>
      </c>
      <c r="B1183" t="s">
        <v>4851</v>
      </c>
      <c r="C1183" t="s">
        <v>2814</v>
      </c>
      <c r="D1183" t="s">
        <v>2780</v>
      </c>
      <c r="E1183" t="s">
        <v>2823</v>
      </c>
      <c r="F1183" t="str">
        <f>"454/668"</f>
        <v>454/668</v>
      </c>
      <c r="G1183" t="s">
        <v>4935</v>
      </c>
      <c r="H1183" t="s">
        <v>4852</v>
      </c>
      <c r="I1183">
        <v>27.58</v>
      </c>
    </row>
    <row r="1184" spans="1:9" ht="12.75">
      <c r="A1184">
        <v>1170</v>
      </c>
      <c r="B1184" t="s">
        <v>4853</v>
      </c>
      <c r="C1184" t="s">
        <v>3923</v>
      </c>
      <c r="D1184" t="s">
        <v>2780</v>
      </c>
      <c r="E1184" t="s">
        <v>2818</v>
      </c>
      <c r="F1184" t="str">
        <f>"225/380"</f>
        <v>225/380</v>
      </c>
      <c r="G1184" t="s">
        <v>4854</v>
      </c>
      <c r="H1184" t="s">
        <v>4855</v>
      </c>
      <c r="I1184">
        <v>27.58</v>
      </c>
    </row>
    <row r="1185" spans="1:9" ht="12.75">
      <c r="A1185">
        <v>1171</v>
      </c>
      <c r="B1185" t="s">
        <v>117</v>
      </c>
      <c r="C1185" t="s">
        <v>2836</v>
      </c>
      <c r="D1185" t="s">
        <v>2780</v>
      </c>
      <c r="E1185" t="s">
        <v>2823</v>
      </c>
      <c r="F1185" t="str">
        <f>"455/668"</f>
        <v>455/668</v>
      </c>
      <c r="G1185" t="s">
        <v>2889</v>
      </c>
      <c r="H1185" t="s">
        <v>4856</v>
      </c>
      <c r="I1185">
        <v>27.57</v>
      </c>
    </row>
    <row r="1186" spans="1:9" ht="12.75">
      <c r="A1186">
        <v>1172</v>
      </c>
      <c r="B1186" t="s">
        <v>4857</v>
      </c>
      <c r="C1186" t="s">
        <v>191</v>
      </c>
      <c r="D1186" t="s">
        <v>2780</v>
      </c>
      <c r="E1186" t="s">
        <v>2973</v>
      </c>
      <c r="F1186" t="str">
        <f>"69/147"</f>
        <v>69/147</v>
      </c>
      <c r="G1186" t="s">
        <v>4858</v>
      </c>
      <c r="H1186" t="s">
        <v>4859</v>
      </c>
      <c r="I1186">
        <v>27.57</v>
      </c>
    </row>
    <row r="1187" spans="1:9" ht="12.75">
      <c r="A1187">
        <v>1173</v>
      </c>
      <c r="B1187" t="s">
        <v>4860</v>
      </c>
      <c r="C1187" t="s">
        <v>2942</v>
      </c>
      <c r="D1187" t="s">
        <v>2780</v>
      </c>
      <c r="E1187" t="s">
        <v>2973</v>
      </c>
      <c r="F1187" t="str">
        <f>"70/147"</f>
        <v>70/147</v>
      </c>
      <c r="G1187" t="s">
        <v>3046</v>
      </c>
      <c r="H1187" t="s">
        <v>4861</v>
      </c>
      <c r="I1187">
        <v>27.56</v>
      </c>
    </row>
    <row r="1188" spans="1:9" ht="12.75">
      <c r="A1188">
        <v>1174</v>
      </c>
      <c r="B1188" t="s">
        <v>4862</v>
      </c>
      <c r="C1188" t="s">
        <v>3309</v>
      </c>
      <c r="D1188" t="s">
        <v>2780</v>
      </c>
      <c r="E1188" t="s">
        <v>2823</v>
      </c>
      <c r="F1188" t="str">
        <f>"456/668"</f>
        <v>456/668</v>
      </c>
      <c r="G1188" t="s">
        <v>4863</v>
      </c>
      <c r="H1188" t="s">
        <v>4864</v>
      </c>
      <c r="I1188">
        <v>27.55</v>
      </c>
    </row>
    <row r="1189" spans="1:9" ht="12.75">
      <c r="A1189">
        <v>1175</v>
      </c>
      <c r="B1189" t="s">
        <v>4523</v>
      </c>
      <c r="C1189" t="s">
        <v>2814</v>
      </c>
      <c r="D1189" t="s">
        <v>2780</v>
      </c>
      <c r="E1189" t="s">
        <v>2823</v>
      </c>
      <c r="F1189" t="str">
        <f>"457/668"</f>
        <v>457/668</v>
      </c>
      <c r="G1189" t="s">
        <v>3261</v>
      </c>
      <c r="H1189" t="s">
        <v>4865</v>
      </c>
      <c r="I1189">
        <v>27.54</v>
      </c>
    </row>
    <row r="1190" spans="1:9" ht="12.75">
      <c r="A1190">
        <v>1176</v>
      </c>
      <c r="B1190" t="s">
        <v>4866</v>
      </c>
      <c r="C1190" t="s">
        <v>2963</v>
      </c>
      <c r="D1190" t="s">
        <v>2780</v>
      </c>
      <c r="E1190" t="s">
        <v>2823</v>
      </c>
      <c r="F1190" t="str">
        <f>"458/668"</f>
        <v>458/668</v>
      </c>
      <c r="G1190" t="s">
        <v>1702</v>
      </c>
      <c r="H1190" t="s">
        <v>4867</v>
      </c>
      <c r="I1190">
        <v>27.53</v>
      </c>
    </row>
    <row r="1191" spans="1:9" ht="12.75">
      <c r="A1191">
        <v>1177</v>
      </c>
      <c r="B1191" t="s">
        <v>4868</v>
      </c>
      <c r="C1191" t="s">
        <v>3283</v>
      </c>
      <c r="D1191" t="s">
        <v>2780</v>
      </c>
      <c r="E1191" t="s">
        <v>2823</v>
      </c>
      <c r="F1191" t="str">
        <f>"459/668"</f>
        <v>459/668</v>
      </c>
      <c r="G1191" t="s">
        <v>3277</v>
      </c>
      <c r="H1191" t="s">
        <v>4869</v>
      </c>
      <c r="I1191">
        <v>27.51</v>
      </c>
    </row>
    <row r="1192" spans="1:9" ht="12.75">
      <c r="A1192">
        <v>1178</v>
      </c>
      <c r="B1192" t="s">
        <v>4870</v>
      </c>
      <c r="C1192" t="s">
        <v>2861</v>
      </c>
      <c r="D1192" t="s">
        <v>2780</v>
      </c>
      <c r="E1192" t="s">
        <v>2823</v>
      </c>
      <c r="F1192" t="str">
        <f>"460/668"</f>
        <v>460/668</v>
      </c>
      <c r="G1192" t="s">
        <v>4871</v>
      </c>
      <c r="H1192" t="s">
        <v>4872</v>
      </c>
      <c r="I1192">
        <v>27.5</v>
      </c>
    </row>
    <row r="1193" spans="1:9" ht="12.75">
      <c r="A1193">
        <v>1179</v>
      </c>
      <c r="B1193" t="s">
        <v>4873</v>
      </c>
      <c r="C1193" t="s">
        <v>2814</v>
      </c>
      <c r="D1193" t="s">
        <v>2780</v>
      </c>
      <c r="E1193" t="s">
        <v>2781</v>
      </c>
      <c r="F1193" t="str">
        <f>"255/354"</f>
        <v>255/354</v>
      </c>
      <c r="G1193" t="s">
        <v>4502</v>
      </c>
      <c r="H1193" t="s">
        <v>5775</v>
      </c>
      <c r="I1193">
        <v>27.49</v>
      </c>
    </row>
    <row r="1194" spans="1:9" ht="12.75">
      <c r="A1194">
        <v>1180</v>
      </c>
      <c r="B1194" t="s">
        <v>695</v>
      </c>
      <c r="C1194" t="s">
        <v>3445</v>
      </c>
      <c r="D1194" t="s">
        <v>2780</v>
      </c>
      <c r="E1194" t="s">
        <v>2823</v>
      </c>
      <c r="F1194" t="str">
        <f>"461/668"</f>
        <v>461/668</v>
      </c>
      <c r="G1194" t="s">
        <v>697</v>
      </c>
      <c r="H1194" t="s">
        <v>5776</v>
      </c>
      <c r="I1194">
        <v>27.48</v>
      </c>
    </row>
    <row r="1195" spans="1:9" ht="12.75">
      <c r="A1195">
        <v>1181</v>
      </c>
      <c r="B1195" t="s">
        <v>5777</v>
      </c>
      <c r="C1195" t="s">
        <v>3114</v>
      </c>
      <c r="D1195" t="s">
        <v>2780</v>
      </c>
      <c r="E1195" t="s">
        <v>2781</v>
      </c>
      <c r="F1195" t="str">
        <f>"256/354"</f>
        <v>256/354</v>
      </c>
      <c r="G1195" t="s">
        <v>4502</v>
      </c>
      <c r="H1195" t="s">
        <v>5778</v>
      </c>
      <c r="I1195">
        <v>27.48</v>
      </c>
    </row>
    <row r="1196" spans="1:9" ht="12.75">
      <c r="A1196">
        <v>1182</v>
      </c>
      <c r="B1196" t="s">
        <v>5779</v>
      </c>
      <c r="C1196" t="s">
        <v>3625</v>
      </c>
      <c r="D1196" t="s">
        <v>2780</v>
      </c>
      <c r="E1196" t="s">
        <v>2781</v>
      </c>
      <c r="F1196" t="str">
        <f>"257/354"</f>
        <v>257/354</v>
      </c>
      <c r="G1196" t="s">
        <v>4502</v>
      </c>
      <c r="H1196" t="s">
        <v>5780</v>
      </c>
      <c r="I1196">
        <v>27.48</v>
      </c>
    </row>
    <row r="1197" spans="1:9" ht="12.75">
      <c r="A1197">
        <v>1183</v>
      </c>
      <c r="B1197" t="s">
        <v>5781</v>
      </c>
      <c r="C1197" t="s">
        <v>2836</v>
      </c>
      <c r="D1197" t="s">
        <v>2780</v>
      </c>
      <c r="E1197" t="s">
        <v>2818</v>
      </c>
      <c r="F1197" t="str">
        <f>"226/380"</f>
        <v>226/380</v>
      </c>
      <c r="G1197" t="s">
        <v>4502</v>
      </c>
      <c r="H1197" t="s">
        <v>5782</v>
      </c>
      <c r="I1197">
        <v>27.48</v>
      </c>
    </row>
    <row r="1198" spans="1:9" ht="12.75">
      <c r="A1198">
        <v>1184</v>
      </c>
      <c r="B1198" t="s">
        <v>5783</v>
      </c>
      <c r="C1198" t="s">
        <v>3057</v>
      </c>
      <c r="D1198" t="s">
        <v>2780</v>
      </c>
      <c r="E1198" t="s">
        <v>2823</v>
      </c>
      <c r="F1198" t="str">
        <f>"462/668"</f>
        <v>462/668</v>
      </c>
      <c r="G1198" t="s">
        <v>4502</v>
      </c>
      <c r="H1198" t="s">
        <v>5784</v>
      </c>
      <c r="I1198">
        <v>27.48</v>
      </c>
    </row>
    <row r="1199" spans="1:9" ht="12.75">
      <c r="A1199">
        <v>1185</v>
      </c>
      <c r="B1199" t="s">
        <v>5785</v>
      </c>
      <c r="C1199" t="s">
        <v>1604</v>
      </c>
      <c r="D1199" t="s">
        <v>2780</v>
      </c>
      <c r="E1199" t="s">
        <v>2823</v>
      </c>
      <c r="F1199" t="str">
        <f>"463/668"</f>
        <v>463/668</v>
      </c>
      <c r="G1199" t="s">
        <v>4499</v>
      </c>
      <c r="H1199" t="s">
        <v>5786</v>
      </c>
      <c r="I1199">
        <v>27.48</v>
      </c>
    </row>
    <row r="1200" spans="1:9" ht="12.75">
      <c r="A1200">
        <v>1186</v>
      </c>
      <c r="B1200" t="s">
        <v>5787</v>
      </c>
      <c r="C1200" t="s">
        <v>5788</v>
      </c>
      <c r="D1200" t="s">
        <v>3031</v>
      </c>
      <c r="E1200" t="s">
        <v>3032</v>
      </c>
      <c r="F1200" t="str">
        <f>"18/25"</f>
        <v>18/25</v>
      </c>
      <c r="G1200" t="s">
        <v>5789</v>
      </c>
      <c r="H1200" t="s">
        <v>5790</v>
      </c>
      <c r="I1200">
        <v>27.47</v>
      </c>
    </row>
    <row r="1201" spans="1:9" ht="12.75">
      <c r="A1201">
        <v>1187</v>
      </c>
      <c r="B1201" t="s">
        <v>5791</v>
      </c>
      <c r="C1201" t="s">
        <v>504</v>
      </c>
      <c r="D1201" t="s">
        <v>2780</v>
      </c>
      <c r="E1201" t="s">
        <v>2818</v>
      </c>
      <c r="F1201" t="str">
        <f>"227/380"</f>
        <v>227/380</v>
      </c>
      <c r="G1201" t="s">
        <v>861</v>
      </c>
      <c r="H1201" t="s">
        <v>5792</v>
      </c>
      <c r="I1201">
        <v>27.45</v>
      </c>
    </row>
    <row r="1202" spans="1:9" ht="12.75">
      <c r="A1202">
        <v>1188</v>
      </c>
      <c r="B1202" t="s">
        <v>5793</v>
      </c>
      <c r="C1202" t="s">
        <v>3008</v>
      </c>
      <c r="D1202" t="s">
        <v>2780</v>
      </c>
      <c r="E1202" t="s">
        <v>2818</v>
      </c>
      <c r="F1202" t="str">
        <f>"228/380"</f>
        <v>228/380</v>
      </c>
      <c r="G1202" t="s">
        <v>861</v>
      </c>
      <c r="H1202" t="s">
        <v>5794</v>
      </c>
      <c r="I1202">
        <v>27.45</v>
      </c>
    </row>
    <row r="1203" spans="1:9" ht="12.75">
      <c r="A1203">
        <v>1189</v>
      </c>
      <c r="B1203" t="s">
        <v>5795</v>
      </c>
      <c r="C1203" t="s">
        <v>2162</v>
      </c>
      <c r="D1203" t="s">
        <v>3031</v>
      </c>
      <c r="E1203" t="s">
        <v>3244</v>
      </c>
      <c r="F1203" t="str">
        <f>"24/40"</f>
        <v>24/40</v>
      </c>
      <c r="G1203" t="s">
        <v>861</v>
      </c>
      <c r="H1203" t="s">
        <v>5796</v>
      </c>
      <c r="I1203">
        <v>27.44</v>
      </c>
    </row>
    <row r="1204" spans="1:9" ht="12.75">
      <c r="A1204">
        <v>1190</v>
      </c>
      <c r="B1204" t="s">
        <v>7345</v>
      </c>
      <c r="C1204" t="s">
        <v>2963</v>
      </c>
      <c r="D1204" t="s">
        <v>2780</v>
      </c>
      <c r="E1204" t="s">
        <v>2781</v>
      </c>
      <c r="F1204" t="str">
        <f>"258/354"</f>
        <v>258/354</v>
      </c>
      <c r="G1204" t="s">
        <v>4362</v>
      </c>
      <c r="H1204" t="s">
        <v>5797</v>
      </c>
      <c r="I1204">
        <v>27.41</v>
      </c>
    </row>
    <row r="1205" spans="1:9" ht="12.75">
      <c r="A1205">
        <v>1191</v>
      </c>
      <c r="B1205" t="s">
        <v>5798</v>
      </c>
      <c r="C1205" t="s">
        <v>43</v>
      </c>
      <c r="D1205" t="s">
        <v>2780</v>
      </c>
      <c r="E1205" t="s">
        <v>2823</v>
      </c>
      <c r="F1205" t="str">
        <f>"464/668"</f>
        <v>464/668</v>
      </c>
      <c r="G1205" t="s">
        <v>5799</v>
      </c>
      <c r="H1205" t="s">
        <v>5800</v>
      </c>
      <c r="I1205">
        <v>27.41</v>
      </c>
    </row>
    <row r="1206" spans="1:9" ht="12.75">
      <c r="A1206">
        <v>1192</v>
      </c>
      <c r="B1206" t="s">
        <v>5801</v>
      </c>
      <c r="C1206" t="s">
        <v>2814</v>
      </c>
      <c r="D1206" t="s">
        <v>2780</v>
      </c>
      <c r="E1206" t="s">
        <v>2823</v>
      </c>
      <c r="F1206" t="str">
        <f>"465/668"</f>
        <v>465/668</v>
      </c>
      <c r="G1206" t="s">
        <v>59</v>
      </c>
      <c r="H1206" t="s">
        <v>5802</v>
      </c>
      <c r="I1206">
        <v>27.41</v>
      </c>
    </row>
    <row r="1207" spans="1:9" ht="12.75">
      <c r="A1207">
        <v>1193</v>
      </c>
      <c r="B1207" t="s">
        <v>5803</v>
      </c>
      <c r="C1207" t="s">
        <v>2814</v>
      </c>
      <c r="D1207" t="s">
        <v>2780</v>
      </c>
      <c r="E1207" t="s">
        <v>2781</v>
      </c>
      <c r="F1207" t="str">
        <f>"259/354"</f>
        <v>259/354</v>
      </c>
      <c r="G1207" t="s">
        <v>5804</v>
      </c>
      <c r="H1207" t="s">
        <v>5805</v>
      </c>
      <c r="I1207">
        <v>27.4</v>
      </c>
    </row>
    <row r="1208" spans="1:9" ht="12.75">
      <c r="A1208">
        <v>1194</v>
      </c>
      <c r="B1208" t="s">
        <v>5806</v>
      </c>
      <c r="C1208" t="s">
        <v>5807</v>
      </c>
      <c r="D1208" t="s">
        <v>2780</v>
      </c>
      <c r="E1208" t="s">
        <v>2823</v>
      </c>
      <c r="F1208" t="str">
        <f>"466/668"</f>
        <v>466/668</v>
      </c>
      <c r="G1208" t="s">
        <v>5808</v>
      </c>
      <c r="H1208" t="s">
        <v>5809</v>
      </c>
      <c r="I1208">
        <v>27.4</v>
      </c>
    </row>
    <row r="1209" spans="1:9" ht="12.75">
      <c r="A1209">
        <v>1195</v>
      </c>
      <c r="B1209" t="s">
        <v>5810</v>
      </c>
      <c r="C1209" t="s">
        <v>1649</v>
      </c>
      <c r="D1209" t="s">
        <v>3031</v>
      </c>
      <c r="E1209" t="s">
        <v>3244</v>
      </c>
      <c r="F1209" t="str">
        <f>"25/40"</f>
        <v>25/40</v>
      </c>
      <c r="G1209" t="s">
        <v>1104</v>
      </c>
      <c r="H1209" t="s">
        <v>5811</v>
      </c>
      <c r="I1209">
        <v>27.39</v>
      </c>
    </row>
    <row r="1210" spans="1:9" ht="12.75">
      <c r="A1210">
        <v>1196</v>
      </c>
      <c r="B1210" t="s">
        <v>5812</v>
      </c>
      <c r="C1210" t="s">
        <v>2567</v>
      </c>
      <c r="D1210" t="s">
        <v>2780</v>
      </c>
      <c r="E1210" t="s">
        <v>2823</v>
      </c>
      <c r="F1210" t="str">
        <f>"467/668"</f>
        <v>467/668</v>
      </c>
      <c r="G1210" t="s">
        <v>1104</v>
      </c>
      <c r="H1210" t="s">
        <v>5813</v>
      </c>
      <c r="I1210">
        <v>27.39</v>
      </c>
    </row>
    <row r="1211" spans="1:9" ht="12.75">
      <c r="A1211">
        <v>1197</v>
      </c>
      <c r="B1211" t="s">
        <v>5814</v>
      </c>
      <c r="C1211" t="s">
        <v>3057</v>
      </c>
      <c r="D1211" t="s">
        <v>2780</v>
      </c>
      <c r="E1211" t="s">
        <v>2818</v>
      </c>
      <c r="F1211" t="str">
        <f>"229/380"</f>
        <v>229/380</v>
      </c>
      <c r="G1211" t="s">
        <v>4831</v>
      </c>
      <c r="H1211" t="s">
        <v>5815</v>
      </c>
      <c r="I1211">
        <v>27.39</v>
      </c>
    </row>
    <row r="1212" spans="1:9" ht="12.75">
      <c r="A1212">
        <v>1198</v>
      </c>
      <c r="B1212" t="s">
        <v>5816</v>
      </c>
      <c r="C1212" t="s">
        <v>7381</v>
      </c>
      <c r="D1212" t="s">
        <v>2780</v>
      </c>
      <c r="E1212" t="s">
        <v>2818</v>
      </c>
      <c r="F1212" t="str">
        <f>"230/380"</f>
        <v>230/380</v>
      </c>
      <c r="G1212" t="s">
        <v>2636</v>
      </c>
      <c r="H1212" t="s">
        <v>5817</v>
      </c>
      <c r="I1212">
        <v>27.39</v>
      </c>
    </row>
    <row r="1213" spans="1:9" ht="12.75">
      <c r="A1213">
        <v>1199</v>
      </c>
      <c r="B1213" t="s">
        <v>2443</v>
      </c>
      <c r="C1213" t="s">
        <v>2865</v>
      </c>
      <c r="D1213" t="s">
        <v>2780</v>
      </c>
      <c r="E1213" t="s">
        <v>3209</v>
      </c>
      <c r="F1213" t="str">
        <f>"7/13"</f>
        <v>7/13</v>
      </c>
      <c r="G1213" t="s">
        <v>2008</v>
      </c>
      <c r="H1213" t="s">
        <v>5818</v>
      </c>
      <c r="I1213">
        <v>27.38</v>
      </c>
    </row>
    <row r="1214" spans="1:9" ht="12.75">
      <c r="A1214">
        <v>1200</v>
      </c>
      <c r="B1214" t="s">
        <v>5819</v>
      </c>
      <c r="C1214" t="s">
        <v>5820</v>
      </c>
      <c r="D1214" t="s">
        <v>2780</v>
      </c>
      <c r="E1214" t="s">
        <v>2818</v>
      </c>
      <c r="F1214" t="str">
        <f>"231/380"</f>
        <v>231/380</v>
      </c>
      <c r="G1214" t="s">
        <v>5821</v>
      </c>
      <c r="H1214" t="s">
        <v>5822</v>
      </c>
      <c r="I1214">
        <v>27.37</v>
      </c>
    </row>
    <row r="1215" spans="1:9" ht="12.75">
      <c r="A1215">
        <v>1201</v>
      </c>
      <c r="B1215" t="s">
        <v>5823</v>
      </c>
      <c r="C1215" t="s">
        <v>2963</v>
      </c>
      <c r="D1215" t="s">
        <v>2780</v>
      </c>
      <c r="E1215" t="s">
        <v>2823</v>
      </c>
      <c r="F1215" t="str">
        <f>"468/668"</f>
        <v>468/668</v>
      </c>
      <c r="G1215" t="s">
        <v>758</v>
      </c>
      <c r="H1215" t="s">
        <v>5824</v>
      </c>
      <c r="I1215">
        <v>27.37</v>
      </c>
    </row>
    <row r="1216" spans="1:9" ht="12.75">
      <c r="A1216">
        <v>1202</v>
      </c>
      <c r="B1216" t="s">
        <v>5825</v>
      </c>
      <c r="C1216" t="s">
        <v>5826</v>
      </c>
      <c r="D1216" t="s">
        <v>2780</v>
      </c>
      <c r="E1216" t="s">
        <v>2973</v>
      </c>
      <c r="F1216" t="str">
        <f>"71/147"</f>
        <v>71/147</v>
      </c>
      <c r="G1216" t="s">
        <v>604</v>
      </c>
      <c r="H1216" t="s">
        <v>5827</v>
      </c>
      <c r="I1216">
        <v>27.37</v>
      </c>
    </row>
    <row r="1217" spans="1:9" ht="12.75">
      <c r="A1217">
        <v>1203</v>
      </c>
      <c r="B1217" t="s">
        <v>5828</v>
      </c>
      <c r="C1217" t="s">
        <v>3471</v>
      </c>
      <c r="D1217" t="s">
        <v>2780</v>
      </c>
      <c r="E1217" t="s">
        <v>2818</v>
      </c>
      <c r="F1217" t="str">
        <f>"232/380"</f>
        <v>232/380</v>
      </c>
      <c r="G1217" t="s">
        <v>5829</v>
      </c>
      <c r="H1217" t="s">
        <v>5830</v>
      </c>
      <c r="I1217">
        <v>27.37</v>
      </c>
    </row>
    <row r="1218" spans="1:9" ht="12.75">
      <c r="A1218">
        <v>1204</v>
      </c>
      <c r="B1218" t="s">
        <v>63</v>
      </c>
      <c r="C1218" t="s">
        <v>2840</v>
      </c>
      <c r="D1218" t="s">
        <v>2780</v>
      </c>
      <c r="E1218" t="s">
        <v>2823</v>
      </c>
      <c r="F1218" t="str">
        <f>"469/668"</f>
        <v>469/668</v>
      </c>
      <c r="G1218" t="s">
        <v>2340</v>
      </c>
      <c r="H1218" t="s">
        <v>5831</v>
      </c>
      <c r="I1218">
        <v>27.36</v>
      </c>
    </row>
    <row r="1219" spans="1:9" ht="12.75">
      <c r="A1219">
        <v>1205</v>
      </c>
      <c r="B1219" t="s">
        <v>5832</v>
      </c>
      <c r="C1219" t="s">
        <v>39</v>
      </c>
      <c r="D1219" t="s">
        <v>2780</v>
      </c>
      <c r="E1219" t="s">
        <v>2781</v>
      </c>
      <c r="F1219" t="str">
        <f>"260/354"</f>
        <v>260/354</v>
      </c>
      <c r="G1219" t="s">
        <v>5833</v>
      </c>
      <c r="H1219" t="s">
        <v>5834</v>
      </c>
      <c r="I1219">
        <v>27.35</v>
      </c>
    </row>
    <row r="1220" spans="1:9" ht="12.75">
      <c r="A1220">
        <v>1206</v>
      </c>
      <c r="B1220" t="s">
        <v>5835</v>
      </c>
      <c r="C1220" t="s">
        <v>2814</v>
      </c>
      <c r="D1220" t="s">
        <v>2780</v>
      </c>
      <c r="E1220" t="s">
        <v>2823</v>
      </c>
      <c r="F1220" t="str">
        <f>"470/668"</f>
        <v>470/668</v>
      </c>
      <c r="G1220" t="s">
        <v>3857</v>
      </c>
      <c r="H1220" t="s">
        <v>5836</v>
      </c>
      <c r="I1220">
        <v>27.34</v>
      </c>
    </row>
    <row r="1221" spans="1:9" ht="12.75">
      <c r="A1221">
        <v>1207</v>
      </c>
      <c r="B1221" t="s">
        <v>2843</v>
      </c>
      <c r="C1221" t="s">
        <v>2857</v>
      </c>
      <c r="D1221" t="s">
        <v>2780</v>
      </c>
      <c r="E1221" t="s">
        <v>2781</v>
      </c>
      <c r="F1221" t="str">
        <f>"261/354"</f>
        <v>261/354</v>
      </c>
      <c r="G1221" t="s">
        <v>3857</v>
      </c>
      <c r="H1221" t="s">
        <v>5837</v>
      </c>
      <c r="I1221">
        <v>27.29</v>
      </c>
    </row>
    <row r="1222" spans="1:9" ht="12.75">
      <c r="A1222">
        <v>1208</v>
      </c>
      <c r="B1222" t="s">
        <v>5838</v>
      </c>
      <c r="C1222" t="s">
        <v>3123</v>
      </c>
      <c r="D1222" t="s">
        <v>2780</v>
      </c>
      <c r="E1222" t="s">
        <v>2799</v>
      </c>
      <c r="F1222" t="str">
        <f>"71/100"</f>
        <v>71/100</v>
      </c>
      <c r="G1222" t="s">
        <v>5839</v>
      </c>
      <c r="H1222" t="s">
        <v>5840</v>
      </c>
      <c r="I1222">
        <v>27.27</v>
      </c>
    </row>
    <row r="1223" spans="1:9" ht="12.75">
      <c r="A1223">
        <v>1209</v>
      </c>
      <c r="B1223" t="s">
        <v>5841</v>
      </c>
      <c r="C1223" t="s">
        <v>7763</v>
      </c>
      <c r="D1223" t="s">
        <v>2780</v>
      </c>
      <c r="E1223" t="s">
        <v>2823</v>
      </c>
      <c r="F1223" t="str">
        <f>"471/668"</f>
        <v>471/668</v>
      </c>
      <c r="G1223" t="s">
        <v>5842</v>
      </c>
      <c r="H1223" t="s">
        <v>5843</v>
      </c>
      <c r="I1223">
        <v>27.26</v>
      </c>
    </row>
    <row r="1224" spans="1:9" ht="12.75">
      <c r="A1224">
        <v>1210</v>
      </c>
      <c r="B1224" t="s">
        <v>5844</v>
      </c>
      <c r="C1224" t="s">
        <v>7332</v>
      </c>
      <c r="D1224" t="s">
        <v>2780</v>
      </c>
      <c r="E1224" t="s">
        <v>2818</v>
      </c>
      <c r="F1224" t="str">
        <f>"233/380"</f>
        <v>233/380</v>
      </c>
      <c r="G1224" t="s">
        <v>1086</v>
      </c>
      <c r="H1224" t="s">
        <v>5845</v>
      </c>
      <c r="I1224">
        <v>27.26</v>
      </c>
    </row>
    <row r="1225" spans="1:9" ht="12.75">
      <c r="A1225">
        <v>1211</v>
      </c>
      <c r="B1225" t="s">
        <v>5846</v>
      </c>
      <c r="C1225" t="s">
        <v>323</v>
      </c>
      <c r="D1225" t="s">
        <v>2780</v>
      </c>
      <c r="E1225" t="s">
        <v>2818</v>
      </c>
      <c r="F1225" t="str">
        <f>"234/380"</f>
        <v>234/380</v>
      </c>
      <c r="G1225" t="s">
        <v>59</v>
      </c>
      <c r="H1225" t="s">
        <v>5847</v>
      </c>
      <c r="I1225">
        <v>27.25</v>
      </c>
    </row>
    <row r="1226" spans="1:9" ht="12.75">
      <c r="A1226">
        <v>1212</v>
      </c>
      <c r="B1226" t="s">
        <v>5848</v>
      </c>
      <c r="C1226" t="s">
        <v>2857</v>
      </c>
      <c r="D1226" t="s">
        <v>2780</v>
      </c>
      <c r="E1226" t="s">
        <v>2818</v>
      </c>
      <c r="F1226" t="str">
        <f>"235/380"</f>
        <v>235/380</v>
      </c>
      <c r="G1226" t="s">
        <v>1684</v>
      </c>
      <c r="H1226" t="s">
        <v>5849</v>
      </c>
      <c r="I1226">
        <v>27.25</v>
      </c>
    </row>
    <row r="1227" spans="1:9" ht="12.75">
      <c r="A1227">
        <v>1213</v>
      </c>
      <c r="B1227" t="s">
        <v>5850</v>
      </c>
      <c r="C1227" t="s">
        <v>3017</v>
      </c>
      <c r="D1227" t="s">
        <v>2780</v>
      </c>
      <c r="E1227" t="s">
        <v>2799</v>
      </c>
      <c r="F1227" t="str">
        <f>"72/100"</f>
        <v>72/100</v>
      </c>
      <c r="G1227" t="s">
        <v>5549</v>
      </c>
      <c r="H1227" t="s">
        <v>5851</v>
      </c>
      <c r="I1227">
        <v>27.25</v>
      </c>
    </row>
    <row r="1228" spans="1:9" ht="12.75">
      <c r="A1228">
        <v>1214</v>
      </c>
      <c r="B1228" t="s">
        <v>283</v>
      </c>
      <c r="C1228" t="s">
        <v>3201</v>
      </c>
      <c r="D1228" t="s">
        <v>2780</v>
      </c>
      <c r="E1228" t="s">
        <v>2781</v>
      </c>
      <c r="F1228" t="str">
        <f>"262/354"</f>
        <v>262/354</v>
      </c>
      <c r="G1228" t="s">
        <v>59</v>
      </c>
      <c r="H1228" t="s">
        <v>5852</v>
      </c>
      <c r="I1228">
        <v>27.25</v>
      </c>
    </row>
    <row r="1229" spans="1:9" ht="12.75">
      <c r="A1229">
        <v>1215</v>
      </c>
      <c r="B1229" t="s">
        <v>5853</v>
      </c>
      <c r="C1229" t="s">
        <v>5854</v>
      </c>
      <c r="D1229" t="s">
        <v>2780</v>
      </c>
      <c r="E1229" t="s">
        <v>2823</v>
      </c>
      <c r="F1229" t="str">
        <f>"472/668"</f>
        <v>472/668</v>
      </c>
      <c r="G1229" t="s">
        <v>2994</v>
      </c>
      <c r="H1229" t="s">
        <v>5855</v>
      </c>
      <c r="I1229">
        <v>27.25</v>
      </c>
    </row>
    <row r="1230" spans="1:9" ht="12.75">
      <c r="A1230">
        <v>1216</v>
      </c>
      <c r="B1230" t="s">
        <v>2057</v>
      </c>
      <c r="C1230" t="s">
        <v>2826</v>
      </c>
      <c r="D1230" t="s">
        <v>2780</v>
      </c>
      <c r="E1230" t="s">
        <v>2823</v>
      </c>
      <c r="F1230" t="str">
        <f>"473/668"</f>
        <v>473/668</v>
      </c>
      <c r="G1230" t="s">
        <v>5856</v>
      </c>
      <c r="H1230" t="s">
        <v>5857</v>
      </c>
      <c r="I1230">
        <v>27.24</v>
      </c>
    </row>
    <row r="1231" spans="1:9" ht="12.75">
      <c r="A1231">
        <v>1217</v>
      </c>
      <c r="B1231" t="s">
        <v>5858</v>
      </c>
      <c r="C1231" t="s">
        <v>5859</v>
      </c>
      <c r="D1231" t="s">
        <v>2780</v>
      </c>
      <c r="E1231" t="s">
        <v>2818</v>
      </c>
      <c r="F1231" t="str">
        <f>"236/380"</f>
        <v>236/380</v>
      </c>
      <c r="G1231" t="s">
        <v>4882</v>
      </c>
      <c r="H1231" t="s">
        <v>5860</v>
      </c>
      <c r="I1231">
        <v>27.23</v>
      </c>
    </row>
    <row r="1232" spans="1:9" ht="12.75">
      <c r="A1232">
        <v>1218</v>
      </c>
      <c r="B1232" t="s">
        <v>5861</v>
      </c>
      <c r="C1232" t="s">
        <v>3438</v>
      </c>
      <c r="D1232" t="s">
        <v>2780</v>
      </c>
      <c r="E1232" t="s">
        <v>3209</v>
      </c>
      <c r="F1232" t="str">
        <f>"8/13"</f>
        <v>8/13</v>
      </c>
      <c r="G1232" t="s">
        <v>7244</v>
      </c>
      <c r="H1232" t="s">
        <v>5862</v>
      </c>
      <c r="I1232">
        <v>27.23</v>
      </c>
    </row>
    <row r="1233" spans="1:9" ht="12.75">
      <c r="A1233">
        <v>1219</v>
      </c>
      <c r="B1233" t="s">
        <v>2856</v>
      </c>
      <c r="C1233" t="s">
        <v>3337</v>
      </c>
      <c r="D1233" t="s">
        <v>2780</v>
      </c>
      <c r="E1233" t="s">
        <v>2799</v>
      </c>
      <c r="F1233" t="str">
        <f>"73/100"</f>
        <v>73/100</v>
      </c>
      <c r="G1233" t="s">
        <v>4882</v>
      </c>
      <c r="H1233" t="s">
        <v>5863</v>
      </c>
      <c r="I1233">
        <v>27.23</v>
      </c>
    </row>
    <row r="1234" spans="1:9" ht="12.75">
      <c r="A1234">
        <v>1220</v>
      </c>
      <c r="B1234" t="s">
        <v>3000</v>
      </c>
      <c r="C1234" t="s">
        <v>3114</v>
      </c>
      <c r="D1234" t="s">
        <v>2780</v>
      </c>
      <c r="E1234" t="s">
        <v>2818</v>
      </c>
      <c r="F1234" t="str">
        <f>"237/380"</f>
        <v>237/380</v>
      </c>
      <c r="G1234" t="s">
        <v>2889</v>
      </c>
      <c r="H1234" t="s">
        <v>5864</v>
      </c>
      <c r="I1234">
        <v>27.23</v>
      </c>
    </row>
    <row r="1235" spans="1:9" ht="12.75">
      <c r="A1235">
        <v>1221</v>
      </c>
      <c r="B1235" t="s">
        <v>5865</v>
      </c>
      <c r="C1235" t="s">
        <v>1048</v>
      </c>
      <c r="D1235" t="s">
        <v>2780</v>
      </c>
      <c r="E1235" t="s">
        <v>2823</v>
      </c>
      <c r="F1235" t="str">
        <f>"474/668"</f>
        <v>474/668</v>
      </c>
      <c r="G1235" t="s">
        <v>5376</v>
      </c>
      <c r="H1235" t="s">
        <v>5866</v>
      </c>
      <c r="I1235">
        <v>27.21</v>
      </c>
    </row>
    <row r="1236" spans="1:9" ht="12.75">
      <c r="A1236">
        <v>1222</v>
      </c>
      <c r="B1236" t="s">
        <v>5867</v>
      </c>
      <c r="C1236" t="s">
        <v>3633</v>
      </c>
      <c r="D1236" t="s">
        <v>2780</v>
      </c>
      <c r="E1236" t="s">
        <v>2781</v>
      </c>
      <c r="F1236" t="str">
        <f>"263/354"</f>
        <v>263/354</v>
      </c>
      <c r="G1236" t="s">
        <v>134</v>
      </c>
      <c r="H1236" t="s">
        <v>5868</v>
      </c>
      <c r="I1236">
        <v>27.21</v>
      </c>
    </row>
    <row r="1237" spans="1:9" ht="12.75">
      <c r="A1237">
        <v>1223</v>
      </c>
      <c r="B1237" t="s">
        <v>5869</v>
      </c>
      <c r="C1237" t="s">
        <v>3141</v>
      </c>
      <c r="D1237" t="s">
        <v>2780</v>
      </c>
      <c r="E1237" t="s">
        <v>2823</v>
      </c>
      <c r="F1237" t="str">
        <f>"475/668"</f>
        <v>475/668</v>
      </c>
      <c r="G1237" t="s">
        <v>5870</v>
      </c>
      <c r="H1237" t="s">
        <v>5871</v>
      </c>
      <c r="I1237">
        <v>27.21</v>
      </c>
    </row>
    <row r="1238" spans="1:9" ht="12.75">
      <c r="A1238">
        <v>1224</v>
      </c>
      <c r="B1238" t="s">
        <v>5872</v>
      </c>
      <c r="C1238" t="s">
        <v>660</v>
      </c>
      <c r="D1238" t="s">
        <v>2780</v>
      </c>
      <c r="E1238" t="s">
        <v>2823</v>
      </c>
      <c r="F1238" t="str">
        <f>"477/668"</f>
        <v>477/668</v>
      </c>
      <c r="G1238" t="s">
        <v>134</v>
      </c>
      <c r="H1238" t="s">
        <v>5873</v>
      </c>
      <c r="I1238">
        <v>27.21</v>
      </c>
    </row>
    <row r="1239" spans="1:9" ht="12.75">
      <c r="A1239">
        <v>1225</v>
      </c>
      <c r="B1239" t="s">
        <v>3661</v>
      </c>
      <c r="C1239" t="s">
        <v>2830</v>
      </c>
      <c r="D1239" t="s">
        <v>2780</v>
      </c>
      <c r="E1239" t="s">
        <v>2823</v>
      </c>
      <c r="F1239" t="str">
        <f>"476/668"</f>
        <v>476/668</v>
      </c>
      <c r="G1239" t="s">
        <v>3802</v>
      </c>
      <c r="H1239" t="s">
        <v>5873</v>
      </c>
      <c r="I1239">
        <v>27.21</v>
      </c>
    </row>
    <row r="1240" spans="1:9" ht="12.75">
      <c r="A1240">
        <v>1226</v>
      </c>
      <c r="B1240" t="s">
        <v>5874</v>
      </c>
      <c r="C1240" t="s">
        <v>5875</v>
      </c>
      <c r="D1240" t="s">
        <v>2780</v>
      </c>
      <c r="E1240" t="s">
        <v>2818</v>
      </c>
      <c r="F1240" t="str">
        <f>"238/380"</f>
        <v>238/380</v>
      </c>
      <c r="G1240" t="s">
        <v>5876</v>
      </c>
      <c r="H1240" t="s">
        <v>5877</v>
      </c>
      <c r="I1240">
        <v>27.2</v>
      </c>
    </row>
    <row r="1241" spans="1:9" ht="12.75">
      <c r="A1241">
        <v>1227</v>
      </c>
      <c r="B1241" t="s">
        <v>5878</v>
      </c>
      <c r="C1241" t="s">
        <v>2865</v>
      </c>
      <c r="D1241" t="s">
        <v>2780</v>
      </c>
      <c r="E1241" t="s">
        <v>2823</v>
      </c>
      <c r="F1241" t="str">
        <f>"478/668"</f>
        <v>478/668</v>
      </c>
      <c r="G1241" t="s">
        <v>175</v>
      </c>
      <c r="H1241" t="s">
        <v>5879</v>
      </c>
      <c r="I1241">
        <v>27.2</v>
      </c>
    </row>
    <row r="1242" spans="1:9" ht="12.75">
      <c r="A1242">
        <v>1228</v>
      </c>
      <c r="B1242" t="s">
        <v>7013</v>
      </c>
      <c r="C1242" t="s">
        <v>3438</v>
      </c>
      <c r="D1242" t="s">
        <v>2780</v>
      </c>
      <c r="E1242" t="s">
        <v>2781</v>
      </c>
      <c r="F1242" t="str">
        <f>"264/354"</f>
        <v>264/354</v>
      </c>
      <c r="G1242" t="s">
        <v>4874</v>
      </c>
      <c r="H1242" t="s">
        <v>5880</v>
      </c>
      <c r="I1242">
        <v>27.17</v>
      </c>
    </row>
    <row r="1243" spans="1:9" ht="12.75">
      <c r="A1243">
        <v>1229</v>
      </c>
      <c r="B1243" t="s">
        <v>1008</v>
      </c>
      <c r="C1243" t="s">
        <v>3087</v>
      </c>
      <c r="D1243" t="s">
        <v>2780</v>
      </c>
      <c r="E1243" t="s">
        <v>2973</v>
      </c>
      <c r="F1243" t="str">
        <f>"72/147"</f>
        <v>72/147</v>
      </c>
      <c r="G1243" t="s">
        <v>5881</v>
      </c>
      <c r="H1243" t="s">
        <v>5882</v>
      </c>
      <c r="I1243">
        <v>27.16</v>
      </c>
    </row>
    <row r="1244" spans="1:9" ht="12.75">
      <c r="A1244">
        <v>1230</v>
      </c>
      <c r="B1244" t="s">
        <v>5883</v>
      </c>
      <c r="C1244" t="s">
        <v>2942</v>
      </c>
      <c r="D1244" t="s">
        <v>2780</v>
      </c>
      <c r="E1244" t="s">
        <v>2823</v>
      </c>
      <c r="F1244" t="str">
        <f>"479/668"</f>
        <v>479/668</v>
      </c>
      <c r="G1244" t="s">
        <v>1187</v>
      </c>
      <c r="H1244" t="s">
        <v>5884</v>
      </c>
      <c r="I1244">
        <v>27.15</v>
      </c>
    </row>
    <row r="1245" spans="1:9" ht="12.75">
      <c r="A1245">
        <v>1231</v>
      </c>
      <c r="B1245" t="s">
        <v>5885</v>
      </c>
      <c r="C1245" t="s">
        <v>2942</v>
      </c>
      <c r="D1245" t="s">
        <v>2780</v>
      </c>
      <c r="E1245" t="s">
        <v>2973</v>
      </c>
      <c r="F1245" t="str">
        <f>"73/147"</f>
        <v>73/147</v>
      </c>
      <c r="G1245" t="s">
        <v>5886</v>
      </c>
      <c r="H1245" t="s">
        <v>5887</v>
      </c>
      <c r="I1245">
        <v>27.15</v>
      </c>
    </row>
    <row r="1246" spans="1:9" ht="12.75">
      <c r="A1246">
        <v>1232</v>
      </c>
      <c r="B1246" t="s">
        <v>5888</v>
      </c>
      <c r="C1246" t="s">
        <v>5889</v>
      </c>
      <c r="D1246" t="s">
        <v>3031</v>
      </c>
      <c r="E1246" t="s">
        <v>3244</v>
      </c>
      <c r="F1246" t="str">
        <f>"26/40"</f>
        <v>26/40</v>
      </c>
      <c r="G1246" t="s">
        <v>3555</v>
      </c>
      <c r="H1246" t="s">
        <v>5890</v>
      </c>
      <c r="I1246">
        <v>27.15</v>
      </c>
    </row>
    <row r="1247" spans="1:9" ht="12.75">
      <c r="A1247">
        <v>1233</v>
      </c>
      <c r="B1247" t="s">
        <v>5891</v>
      </c>
      <c r="C1247" t="s">
        <v>3633</v>
      </c>
      <c r="D1247" t="s">
        <v>2780</v>
      </c>
      <c r="E1247" t="s">
        <v>2823</v>
      </c>
      <c r="F1247" t="str">
        <f>"480/668"</f>
        <v>480/668</v>
      </c>
      <c r="G1247" t="s">
        <v>1754</v>
      </c>
      <c r="H1247" t="s">
        <v>5892</v>
      </c>
      <c r="I1247">
        <v>27.14</v>
      </c>
    </row>
    <row r="1248" spans="1:9" ht="12.75">
      <c r="A1248">
        <v>1234</v>
      </c>
      <c r="B1248" t="s">
        <v>5893</v>
      </c>
      <c r="C1248" t="s">
        <v>2865</v>
      </c>
      <c r="D1248" t="s">
        <v>2780</v>
      </c>
      <c r="E1248" t="s">
        <v>2818</v>
      </c>
      <c r="F1248" t="str">
        <f>"239/380"</f>
        <v>239/380</v>
      </c>
      <c r="G1248" t="s">
        <v>5065</v>
      </c>
      <c r="H1248" t="s">
        <v>5894</v>
      </c>
      <c r="I1248">
        <v>27.14</v>
      </c>
    </row>
    <row r="1249" spans="1:9" ht="12.75">
      <c r="A1249">
        <v>1235</v>
      </c>
      <c r="B1249" t="s">
        <v>5051</v>
      </c>
      <c r="C1249" t="s">
        <v>615</v>
      </c>
      <c r="D1249" t="s">
        <v>2780</v>
      </c>
      <c r="E1249" t="s">
        <v>2823</v>
      </c>
      <c r="F1249" t="str">
        <f>"481/668"</f>
        <v>481/668</v>
      </c>
      <c r="G1249" t="s">
        <v>377</v>
      </c>
      <c r="H1249" t="s">
        <v>5895</v>
      </c>
      <c r="I1249">
        <v>27.14</v>
      </c>
    </row>
    <row r="1250" spans="1:9" ht="12.75">
      <c r="A1250">
        <v>1236</v>
      </c>
      <c r="B1250" t="s">
        <v>5896</v>
      </c>
      <c r="C1250" t="s">
        <v>2836</v>
      </c>
      <c r="D1250" t="s">
        <v>2780</v>
      </c>
      <c r="E1250" t="s">
        <v>2781</v>
      </c>
      <c r="F1250" t="str">
        <f>"265/354"</f>
        <v>265/354</v>
      </c>
      <c r="G1250" t="s">
        <v>1754</v>
      </c>
      <c r="H1250" t="s">
        <v>5897</v>
      </c>
      <c r="I1250">
        <v>27.14</v>
      </c>
    </row>
    <row r="1251" spans="1:9" ht="12.75">
      <c r="A1251">
        <v>1237</v>
      </c>
      <c r="B1251" t="s">
        <v>5898</v>
      </c>
      <c r="C1251" t="s">
        <v>2814</v>
      </c>
      <c r="D1251" t="s">
        <v>2780</v>
      </c>
      <c r="E1251" t="s">
        <v>2781</v>
      </c>
      <c r="F1251" t="str">
        <f>"266/354"</f>
        <v>266/354</v>
      </c>
      <c r="G1251" t="s">
        <v>1754</v>
      </c>
      <c r="H1251" t="s">
        <v>5899</v>
      </c>
      <c r="I1251">
        <v>27.14</v>
      </c>
    </row>
    <row r="1252" spans="1:9" ht="12.75">
      <c r="A1252">
        <v>1238</v>
      </c>
      <c r="B1252" t="s">
        <v>5900</v>
      </c>
      <c r="C1252" t="s">
        <v>3087</v>
      </c>
      <c r="D1252" t="s">
        <v>2780</v>
      </c>
      <c r="E1252" t="s">
        <v>2818</v>
      </c>
      <c r="F1252" t="str">
        <f>"240/380"</f>
        <v>240/380</v>
      </c>
      <c r="G1252" t="s">
        <v>377</v>
      </c>
      <c r="H1252" t="s">
        <v>5901</v>
      </c>
      <c r="I1252">
        <v>27.14</v>
      </c>
    </row>
    <row r="1253" spans="1:9" ht="12.75">
      <c r="A1253">
        <v>1239</v>
      </c>
      <c r="B1253" t="s">
        <v>5902</v>
      </c>
      <c r="C1253" t="s">
        <v>1160</v>
      </c>
      <c r="D1253" t="s">
        <v>2780</v>
      </c>
      <c r="E1253" t="s">
        <v>2818</v>
      </c>
      <c r="F1253" t="str">
        <f>"241/380"</f>
        <v>241/380</v>
      </c>
      <c r="G1253" t="s">
        <v>5498</v>
      </c>
      <c r="H1253" t="s">
        <v>5903</v>
      </c>
      <c r="I1253">
        <v>27.13</v>
      </c>
    </row>
    <row r="1254" spans="1:9" ht="12.75">
      <c r="A1254">
        <v>1240</v>
      </c>
      <c r="B1254" t="s">
        <v>1910</v>
      </c>
      <c r="C1254" t="s">
        <v>3346</v>
      </c>
      <c r="D1254" t="s">
        <v>2780</v>
      </c>
      <c r="E1254" t="s">
        <v>2973</v>
      </c>
      <c r="F1254" t="str">
        <f>"74/147"</f>
        <v>74/147</v>
      </c>
      <c r="G1254" t="s">
        <v>5904</v>
      </c>
      <c r="H1254" t="s">
        <v>5905</v>
      </c>
      <c r="I1254">
        <v>27.12</v>
      </c>
    </row>
    <row r="1255" spans="1:9" ht="12.75">
      <c r="A1255">
        <v>1241</v>
      </c>
      <c r="B1255" t="s">
        <v>5906</v>
      </c>
      <c r="C1255" t="s">
        <v>2895</v>
      </c>
      <c r="D1255" t="s">
        <v>2780</v>
      </c>
      <c r="E1255" t="s">
        <v>2823</v>
      </c>
      <c r="F1255" t="str">
        <f>"482/668"</f>
        <v>482/668</v>
      </c>
      <c r="G1255" t="s">
        <v>5907</v>
      </c>
      <c r="H1255" t="s">
        <v>5908</v>
      </c>
      <c r="I1255">
        <v>27.12</v>
      </c>
    </row>
    <row r="1256" spans="1:9" ht="12.75">
      <c r="A1256">
        <v>1242</v>
      </c>
      <c r="B1256" t="s">
        <v>5909</v>
      </c>
      <c r="C1256" t="s">
        <v>3438</v>
      </c>
      <c r="D1256" t="s">
        <v>2780</v>
      </c>
      <c r="E1256" t="s">
        <v>2818</v>
      </c>
      <c r="F1256" t="str">
        <f>"242/380"</f>
        <v>242/380</v>
      </c>
      <c r="G1256" t="s">
        <v>3314</v>
      </c>
      <c r="H1256" t="s">
        <v>5910</v>
      </c>
      <c r="I1256">
        <v>27.12</v>
      </c>
    </row>
    <row r="1257" spans="1:9" ht="12.75">
      <c r="A1257">
        <v>1243</v>
      </c>
      <c r="B1257" t="s">
        <v>5911</v>
      </c>
      <c r="C1257" t="s">
        <v>3008</v>
      </c>
      <c r="D1257" t="s">
        <v>2780</v>
      </c>
      <c r="E1257" t="s">
        <v>2823</v>
      </c>
      <c r="F1257" t="str">
        <f>"483/668"</f>
        <v>483/668</v>
      </c>
      <c r="G1257" t="s">
        <v>5912</v>
      </c>
      <c r="H1257" t="s">
        <v>5913</v>
      </c>
      <c r="I1257">
        <v>27.12</v>
      </c>
    </row>
    <row r="1258" spans="1:9" ht="12.75">
      <c r="A1258">
        <v>1244</v>
      </c>
      <c r="B1258" t="s">
        <v>5914</v>
      </c>
      <c r="C1258" t="s">
        <v>3017</v>
      </c>
      <c r="D1258" t="s">
        <v>2780</v>
      </c>
      <c r="E1258" t="s">
        <v>2823</v>
      </c>
      <c r="F1258" t="str">
        <f>"484/668"</f>
        <v>484/668</v>
      </c>
      <c r="G1258" t="s">
        <v>5915</v>
      </c>
      <c r="H1258" t="s">
        <v>5916</v>
      </c>
      <c r="I1258">
        <v>27.12</v>
      </c>
    </row>
    <row r="1259" spans="1:9" ht="12.75">
      <c r="A1259">
        <v>1245</v>
      </c>
      <c r="B1259" t="s">
        <v>3772</v>
      </c>
      <c r="C1259" t="s">
        <v>3633</v>
      </c>
      <c r="D1259" t="s">
        <v>2780</v>
      </c>
      <c r="E1259" t="s">
        <v>2818</v>
      </c>
      <c r="F1259" t="str">
        <f>"243/380"</f>
        <v>243/380</v>
      </c>
      <c r="G1259" t="s">
        <v>3277</v>
      </c>
      <c r="H1259" t="s">
        <v>5917</v>
      </c>
      <c r="I1259">
        <v>27.1</v>
      </c>
    </row>
    <row r="1260" spans="1:9" ht="12.75">
      <c r="A1260">
        <v>1246</v>
      </c>
      <c r="B1260" t="s">
        <v>5918</v>
      </c>
      <c r="C1260" t="s">
        <v>3164</v>
      </c>
      <c r="D1260" t="s">
        <v>2780</v>
      </c>
      <c r="E1260" t="s">
        <v>2823</v>
      </c>
      <c r="F1260" t="str">
        <f>"485/668"</f>
        <v>485/668</v>
      </c>
      <c r="G1260" t="s">
        <v>5919</v>
      </c>
      <c r="H1260" t="s">
        <v>5920</v>
      </c>
      <c r="I1260">
        <v>27.09</v>
      </c>
    </row>
    <row r="1261" spans="1:9" ht="12.75">
      <c r="A1261">
        <v>1247</v>
      </c>
      <c r="B1261" t="s">
        <v>4068</v>
      </c>
      <c r="C1261" t="s">
        <v>3286</v>
      </c>
      <c r="D1261" t="s">
        <v>2780</v>
      </c>
      <c r="E1261" t="s">
        <v>2973</v>
      </c>
      <c r="F1261" t="str">
        <f>"75/147"</f>
        <v>75/147</v>
      </c>
      <c r="G1261" t="s">
        <v>533</v>
      </c>
      <c r="H1261" t="s">
        <v>5921</v>
      </c>
      <c r="I1261">
        <v>27.08</v>
      </c>
    </row>
    <row r="1262" spans="1:9" ht="12.75">
      <c r="A1262">
        <v>1248</v>
      </c>
      <c r="B1262" t="s">
        <v>5922</v>
      </c>
      <c r="C1262" t="s">
        <v>4749</v>
      </c>
      <c r="D1262" t="s">
        <v>2780</v>
      </c>
      <c r="E1262" t="s">
        <v>2781</v>
      </c>
      <c r="F1262" t="str">
        <f>"267/354"</f>
        <v>267/354</v>
      </c>
      <c r="G1262" t="s">
        <v>5923</v>
      </c>
      <c r="H1262" t="s">
        <v>5924</v>
      </c>
      <c r="I1262">
        <v>27.07</v>
      </c>
    </row>
    <row r="1263" spans="1:9" ht="12.75">
      <c r="A1263">
        <v>1249</v>
      </c>
      <c r="B1263" t="s">
        <v>5925</v>
      </c>
      <c r="C1263" t="s">
        <v>2822</v>
      </c>
      <c r="D1263" t="s">
        <v>2780</v>
      </c>
      <c r="E1263" t="s">
        <v>2781</v>
      </c>
      <c r="F1263" t="str">
        <f>"268/354"</f>
        <v>268/354</v>
      </c>
      <c r="G1263" t="s">
        <v>1849</v>
      </c>
      <c r="H1263" t="s">
        <v>5926</v>
      </c>
      <c r="I1263">
        <v>27.06</v>
      </c>
    </row>
    <row r="1264" spans="1:9" ht="12.75">
      <c r="A1264">
        <v>1250</v>
      </c>
      <c r="B1264" t="s">
        <v>5927</v>
      </c>
      <c r="C1264" t="s">
        <v>3810</v>
      </c>
      <c r="D1264" t="s">
        <v>2780</v>
      </c>
      <c r="E1264" t="s">
        <v>2823</v>
      </c>
      <c r="F1264" t="str">
        <f>"486/668"</f>
        <v>486/668</v>
      </c>
      <c r="G1264" t="s">
        <v>5928</v>
      </c>
      <c r="H1264" t="s">
        <v>5929</v>
      </c>
      <c r="I1264">
        <v>27.06</v>
      </c>
    </row>
    <row r="1265" spans="1:9" ht="12.75">
      <c r="A1265">
        <v>1251</v>
      </c>
      <c r="B1265" t="s">
        <v>5421</v>
      </c>
      <c r="C1265" t="s">
        <v>3337</v>
      </c>
      <c r="D1265" t="s">
        <v>2780</v>
      </c>
      <c r="E1265" t="s">
        <v>2823</v>
      </c>
      <c r="F1265" t="str">
        <f>"487/668"</f>
        <v>487/668</v>
      </c>
      <c r="G1265" t="s">
        <v>5423</v>
      </c>
      <c r="H1265" t="s">
        <v>5930</v>
      </c>
      <c r="I1265">
        <v>27.05</v>
      </c>
    </row>
    <row r="1266" spans="1:9" ht="12.75">
      <c r="A1266">
        <v>1252</v>
      </c>
      <c r="B1266" t="s">
        <v>5931</v>
      </c>
      <c r="C1266" t="s">
        <v>3438</v>
      </c>
      <c r="D1266" t="s">
        <v>2780</v>
      </c>
      <c r="E1266" t="s">
        <v>3209</v>
      </c>
      <c r="F1266" t="str">
        <f>"9/13"</f>
        <v>9/13</v>
      </c>
      <c r="G1266" t="s">
        <v>5932</v>
      </c>
      <c r="H1266" t="s">
        <v>5933</v>
      </c>
      <c r="I1266">
        <v>27.05</v>
      </c>
    </row>
    <row r="1267" spans="1:9" ht="12.75">
      <c r="A1267">
        <v>1253</v>
      </c>
      <c r="B1267" t="s">
        <v>5934</v>
      </c>
      <c r="C1267" t="s">
        <v>2861</v>
      </c>
      <c r="D1267" t="s">
        <v>2780</v>
      </c>
      <c r="E1267" t="s">
        <v>2823</v>
      </c>
      <c r="F1267" t="str">
        <f>"488/668"</f>
        <v>488/668</v>
      </c>
      <c r="G1267" t="s">
        <v>4369</v>
      </c>
      <c r="H1267" t="s">
        <v>5935</v>
      </c>
      <c r="I1267">
        <v>27.04</v>
      </c>
    </row>
    <row r="1268" spans="1:9" ht="12.75">
      <c r="A1268">
        <v>1254</v>
      </c>
      <c r="B1268" t="s">
        <v>5936</v>
      </c>
      <c r="C1268" t="s">
        <v>2104</v>
      </c>
      <c r="D1268" t="s">
        <v>2780</v>
      </c>
      <c r="E1268" t="s">
        <v>2818</v>
      </c>
      <c r="F1268" t="str">
        <f>"244/380"</f>
        <v>244/380</v>
      </c>
      <c r="G1268" t="s">
        <v>5762</v>
      </c>
      <c r="H1268" t="s">
        <v>5937</v>
      </c>
      <c r="I1268">
        <v>27.04</v>
      </c>
    </row>
    <row r="1269" spans="1:9" ht="12.75">
      <c r="A1269">
        <v>1255</v>
      </c>
      <c r="B1269" t="s">
        <v>5199</v>
      </c>
      <c r="C1269" t="s">
        <v>3192</v>
      </c>
      <c r="D1269" t="s">
        <v>2780</v>
      </c>
      <c r="E1269" t="s">
        <v>2823</v>
      </c>
      <c r="F1269" t="str">
        <f>"489/668"</f>
        <v>489/668</v>
      </c>
      <c r="G1269" t="s">
        <v>5762</v>
      </c>
      <c r="H1269" t="s">
        <v>5938</v>
      </c>
      <c r="I1269">
        <v>27.03</v>
      </c>
    </row>
    <row r="1270" spans="1:9" ht="12.75">
      <c r="A1270">
        <v>1256</v>
      </c>
      <c r="B1270" t="s">
        <v>5939</v>
      </c>
      <c r="C1270" t="s">
        <v>2895</v>
      </c>
      <c r="D1270" t="s">
        <v>2780</v>
      </c>
      <c r="E1270" t="s">
        <v>2799</v>
      </c>
      <c r="F1270" t="str">
        <f>"74/100"</f>
        <v>74/100</v>
      </c>
      <c r="G1270" t="s">
        <v>2498</v>
      </c>
      <c r="H1270" t="s">
        <v>5940</v>
      </c>
      <c r="I1270">
        <v>27.02</v>
      </c>
    </row>
    <row r="1271" spans="1:9" ht="12.75">
      <c r="A1271">
        <v>1257</v>
      </c>
      <c r="B1271" t="s">
        <v>5941</v>
      </c>
      <c r="C1271" t="s">
        <v>2963</v>
      </c>
      <c r="D1271" t="s">
        <v>2780</v>
      </c>
      <c r="E1271" t="s">
        <v>2799</v>
      </c>
      <c r="F1271" t="str">
        <f>"75/100"</f>
        <v>75/100</v>
      </c>
      <c r="G1271" t="s">
        <v>2498</v>
      </c>
      <c r="H1271" t="s">
        <v>5942</v>
      </c>
      <c r="I1271">
        <v>27.02</v>
      </c>
    </row>
    <row r="1272" spans="1:9" ht="12.75">
      <c r="A1272">
        <v>1258</v>
      </c>
      <c r="B1272" t="s">
        <v>7076</v>
      </c>
      <c r="C1272" t="s">
        <v>2886</v>
      </c>
      <c r="D1272" t="s">
        <v>2780</v>
      </c>
      <c r="E1272" t="s">
        <v>2781</v>
      </c>
      <c r="F1272" t="str">
        <f>"269/354"</f>
        <v>269/354</v>
      </c>
      <c r="G1272" t="s">
        <v>5943</v>
      </c>
      <c r="H1272" t="s">
        <v>5942</v>
      </c>
      <c r="I1272">
        <v>27.02</v>
      </c>
    </row>
    <row r="1273" spans="1:9" ht="12.75">
      <c r="A1273">
        <v>1259</v>
      </c>
      <c r="B1273" t="s">
        <v>3146</v>
      </c>
      <c r="C1273" t="s">
        <v>39</v>
      </c>
      <c r="D1273" t="s">
        <v>2780</v>
      </c>
      <c r="E1273" t="s">
        <v>2823</v>
      </c>
      <c r="F1273" t="str">
        <f>"490/668"</f>
        <v>490/668</v>
      </c>
      <c r="G1273" t="s">
        <v>2883</v>
      </c>
      <c r="H1273" t="s">
        <v>5944</v>
      </c>
      <c r="I1273">
        <v>27.02</v>
      </c>
    </row>
    <row r="1274" spans="1:9" ht="12.75">
      <c r="A1274">
        <v>1260</v>
      </c>
      <c r="B1274" t="s">
        <v>7452</v>
      </c>
      <c r="C1274" t="s">
        <v>2857</v>
      </c>
      <c r="D1274" t="s">
        <v>2780</v>
      </c>
      <c r="E1274" t="s">
        <v>2823</v>
      </c>
      <c r="F1274" t="str">
        <f>"491/668"</f>
        <v>491/668</v>
      </c>
      <c r="G1274" t="s">
        <v>3546</v>
      </c>
      <c r="H1274" t="s">
        <v>5945</v>
      </c>
      <c r="I1274">
        <v>27.02</v>
      </c>
    </row>
    <row r="1275" spans="1:9" ht="12.75">
      <c r="A1275">
        <v>1261</v>
      </c>
      <c r="B1275" t="s">
        <v>5946</v>
      </c>
      <c r="C1275" t="s">
        <v>3164</v>
      </c>
      <c r="D1275" t="s">
        <v>2780</v>
      </c>
      <c r="E1275" t="s">
        <v>2823</v>
      </c>
      <c r="F1275" t="str">
        <f>"492/668"</f>
        <v>492/668</v>
      </c>
      <c r="G1275" t="s">
        <v>5947</v>
      </c>
      <c r="H1275" t="s">
        <v>5948</v>
      </c>
      <c r="I1275">
        <v>27.02</v>
      </c>
    </row>
    <row r="1276" spans="1:9" ht="12.75">
      <c r="A1276">
        <v>1262</v>
      </c>
      <c r="B1276" t="s">
        <v>5949</v>
      </c>
      <c r="C1276" t="s">
        <v>3057</v>
      </c>
      <c r="D1276" t="s">
        <v>2780</v>
      </c>
      <c r="E1276" t="s">
        <v>2823</v>
      </c>
      <c r="F1276" t="str">
        <f>"493/668"</f>
        <v>493/668</v>
      </c>
      <c r="G1276" t="s">
        <v>7715</v>
      </c>
      <c r="H1276" t="s">
        <v>5950</v>
      </c>
      <c r="I1276">
        <v>27.01</v>
      </c>
    </row>
    <row r="1277" spans="1:9" ht="12.75">
      <c r="A1277">
        <v>1263</v>
      </c>
      <c r="B1277" t="s">
        <v>5511</v>
      </c>
      <c r="C1277" t="s">
        <v>2807</v>
      </c>
      <c r="D1277" t="s">
        <v>2780</v>
      </c>
      <c r="E1277" t="s">
        <v>2799</v>
      </c>
      <c r="F1277" t="str">
        <f>"76/100"</f>
        <v>76/100</v>
      </c>
      <c r="G1277" t="s">
        <v>5512</v>
      </c>
      <c r="H1277" t="s">
        <v>5951</v>
      </c>
      <c r="I1277">
        <v>27.01</v>
      </c>
    </row>
    <row r="1278" spans="1:9" s="1" customFormat="1" ht="12.75">
      <c r="A1278" s="1">
        <v>1264</v>
      </c>
      <c r="B1278" s="1" t="s">
        <v>5848</v>
      </c>
      <c r="C1278" s="1" t="s">
        <v>2840</v>
      </c>
      <c r="D1278" s="1" t="s">
        <v>2780</v>
      </c>
      <c r="E1278" s="1" t="s">
        <v>2823</v>
      </c>
      <c r="F1278" s="1" t="str">
        <f>"494/668"</f>
        <v>494/668</v>
      </c>
      <c r="G1278" s="1" t="s">
        <v>5536</v>
      </c>
      <c r="H1278" s="1" t="s">
        <v>5952</v>
      </c>
      <c r="I1278" s="1">
        <v>27</v>
      </c>
    </row>
    <row r="1279" spans="1:9" s="1" customFormat="1" ht="12.75">
      <c r="A1279" s="1">
        <v>1265</v>
      </c>
      <c r="B1279" s="1" t="s">
        <v>2764</v>
      </c>
      <c r="C1279" s="1" t="s">
        <v>3276</v>
      </c>
      <c r="D1279" s="1" t="s">
        <v>2780</v>
      </c>
      <c r="E1279" s="1" t="s">
        <v>2781</v>
      </c>
      <c r="F1279" s="1" t="str">
        <f>"270/354"</f>
        <v>270/354</v>
      </c>
      <c r="G1279" s="1" t="s">
        <v>5536</v>
      </c>
      <c r="H1279" s="1" t="s">
        <v>5953</v>
      </c>
      <c r="I1279" s="1">
        <v>26.99</v>
      </c>
    </row>
    <row r="1280" spans="1:9" s="1" customFormat="1" ht="12.75">
      <c r="A1280" s="1">
        <v>1266</v>
      </c>
      <c r="B1280" s="1" t="s">
        <v>5954</v>
      </c>
      <c r="C1280" s="1" t="s">
        <v>2830</v>
      </c>
      <c r="D1280" s="1" t="s">
        <v>2780</v>
      </c>
      <c r="E1280" s="1" t="s">
        <v>2781</v>
      </c>
      <c r="F1280" s="1" t="str">
        <f>"271/354"</f>
        <v>271/354</v>
      </c>
      <c r="G1280" s="1" t="s">
        <v>5536</v>
      </c>
      <c r="H1280" s="1" t="s">
        <v>5955</v>
      </c>
      <c r="I1280" s="1">
        <v>26.99</v>
      </c>
    </row>
    <row r="1281" spans="1:9" s="1" customFormat="1" ht="12.75">
      <c r="A1281" s="1">
        <v>1267</v>
      </c>
      <c r="B1281" s="1" t="s">
        <v>2764</v>
      </c>
      <c r="C1281" s="1" t="s">
        <v>2865</v>
      </c>
      <c r="D1281" s="1" t="s">
        <v>2780</v>
      </c>
      <c r="E1281" s="1" t="s">
        <v>2818</v>
      </c>
      <c r="F1281" s="1" t="str">
        <f>"245/380"</f>
        <v>245/380</v>
      </c>
      <c r="G1281" s="1" t="s">
        <v>5536</v>
      </c>
      <c r="H1281" s="1" t="s">
        <v>5956</v>
      </c>
      <c r="I1281" s="1">
        <v>26.99</v>
      </c>
    </row>
    <row r="1282" spans="1:9" s="1" customFormat="1" ht="12.75">
      <c r="A1282" s="1">
        <v>1268</v>
      </c>
      <c r="B1282" s="1" t="s">
        <v>977</v>
      </c>
      <c r="C1282" s="1" t="s">
        <v>2966</v>
      </c>
      <c r="D1282" s="1" t="s">
        <v>2780</v>
      </c>
      <c r="E1282" s="1" t="s">
        <v>2823</v>
      </c>
      <c r="F1282" s="1" t="str">
        <f>"495/668"</f>
        <v>495/668</v>
      </c>
      <c r="G1282" s="1" t="s">
        <v>5536</v>
      </c>
      <c r="H1282" s="1" t="s">
        <v>5957</v>
      </c>
      <c r="I1282" s="1">
        <v>26.99</v>
      </c>
    </row>
    <row r="1283" spans="1:9" s="1" customFormat="1" ht="12.75">
      <c r="A1283" s="1">
        <v>1269</v>
      </c>
      <c r="B1283" s="1" t="s">
        <v>5958</v>
      </c>
      <c r="C1283" s="1" t="s">
        <v>353</v>
      </c>
      <c r="D1283" s="1" t="s">
        <v>2780</v>
      </c>
      <c r="E1283" s="1" t="s">
        <v>2781</v>
      </c>
      <c r="F1283" s="1" t="str">
        <f>"272/354"</f>
        <v>272/354</v>
      </c>
      <c r="G1283" s="1" t="s">
        <v>5536</v>
      </c>
      <c r="H1283" s="1" t="s">
        <v>5959</v>
      </c>
      <c r="I1283" s="1">
        <v>26.99</v>
      </c>
    </row>
    <row r="1284" spans="1:9" ht="12.75">
      <c r="A1284">
        <v>1270</v>
      </c>
      <c r="B1284" t="s">
        <v>5960</v>
      </c>
      <c r="C1284" t="s">
        <v>3356</v>
      </c>
      <c r="D1284" t="s">
        <v>2780</v>
      </c>
      <c r="E1284" t="s">
        <v>2786</v>
      </c>
      <c r="F1284" t="str">
        <f>"36/44"</f>
        <v>36/44</v>
      </c>
      <c r="G1284" t="s">
        <v>3516</v>
      </c>
      <c r="H1284" t="s">
        <v>5961</v>
      </c>
      <c r="I1284">
        <v>26.98</v>
      </c>
    </row>
    <row r="1285" spans="1:9" ht="12.75">
      <c r="A1285">
        <v>1271</v>
      </c>
      <c r="B1285" t="s">
        <v>5962</v>
      </c>
      <c r="C1285" t="s">
        <v>504</v>
      </c>
      <c r="D1285" t="s">
        <v>2780</v>
      </c>
      <c r="E1285" t="s">
        <v>2823</v>
      </c>
      <c r="F1285" t="str">
        <f>"496/668"</f>
        <v>496/668</v>
      </c>
      <c r="G1285" t="s">
        <v>5947</v>
      </c>
      <c r="H1285" t="s">
        <v>5963</v>
      </c>
      <c r="I1285">
        <v>26.97</v>
      </c>
    </row>
    <row r="1286" spans="1:9" s="1" customFormat="1" ht="12.75">
      <c r="A1286" s="1">
        <v>1272</v>
      </c>
      <c r="B1286" s="1" t="s">
        <v>5958</v>
      </c>
      <c r="C1286" s="1" t="s">
        <v>3438</v>
      </c>
      <c r="D1286" s="1" t="s">
        <v>2780</v>
      </c>
      <c r="E1286" s="1" t="s">
        <v>2823</v>
      </c>
      <c r="F1286" s="1" t="str">
        <f>"497/668"</f>
        <v>497/668</v>
      </c>
      <c r="G1286" s="1" t="s">
        <v>5536</v>
      </c>
      <c r="H1286" s="1" t="s">
        <v>5964</v>
      </c>
      <c r="I1286" s="1">
        <v>26.97</v>
      </c>
    </row>
    <row r="1287" spans="1:9" ht="12.75">
      <c r="A1287">
        <v>1273</v>
      </c>
      <c r="B1287" t="s">
        <v>5965</v>
      </c>
      <c r="C1287" t="s">
        <v>5966</v>
      </c>
      <c r="D1287" t="s">
        <v>2780</v>
      </c>
      <c r="E1287" t="s">
        <v>2973</v>
      </c>
      <c r="F1287" t="str">
        <f>"76/147"</f>
        <v>76/147</v>
      </c>
      <c r="G1287" t="s">
        <v>5762</v>
      </c>
      <c r="H1287" t="s">
        <v>5967</v>
      </c>
      <c r="I1287">
        <v>26.97</v>
      </c>
    </row>
    <row r="1288" spans="1:9" ht="12.75">
      <c r="A1288">
        <v>1274</v>
      </c>
      <c r="B1288" t="s">
        <v>5968</v>
      </c>
      <c r="C1288" t="s">
        <v>3174</v>
      </c>
      <c r="D1288" t="s">
        <v>2780</v>
      </c>
      <c r="E1288" t="s">
        <v>2823</v>
      </c>
      <c r="F1288" t="str">
        <f>"498/668"</f>
        <v>498/668</v>
      </c>
      <c r="G1288" t="s">
        <v>3261</v>
      </c>
      <c r="H1288" t="s">
        <v>5969</v>
      </c>
      <c r="I1288">
        <v>26.96</v>
      </c>
    </row>
    <row r="1289" spans="1:9" ht="12.75">
      <c r="A1289">
        <v>1275</v>
      </c>
      <c r="B1289" t="s">
        <v>5970</v>
      </c>
      <c r="C1289" t="s">
        <v>2895</v>
      </c>
      <c r="D1289" t="s">
        <v>2780</v>
      </c>
      <c r="E1289" t="s">
        <v>2823</v>
      </c>
      <c r="F1289" t="str">
        <f>"499/668"</f>
        <v>499/668</v>
      </c>
      <c r="G1289" t="s">
        <v>4882</v>
      </c>
      <c r="H1289" t="s">
        <v>5969</v>
      </c>
      <c r="I1289">
        <v>26.96</v>
      </c>
    </row>
    <row r="1290" spans="1:9" ht="12.75">
      <c r="A1290">
        <v>1276</v>
      </c>
      <c r="B1290" t="s">
        <v>5971</v>
      </c>
      <c r="C1290" t="s">
        <v>2966</v>
      </c>
      <c r="D1290" t="s">
        <v>2780</v>
      </c>
      <c r="E1290" t="s">
        <v>2823</v>
      </c>
      <c r="F1290" t="str">
        <f>"500/668"</f>
        <v>500/668</v>
      </c>
      <c r="G1290" t="s">
        <v>3516</v>
      </c>
      <c r="H1290" t="s">
        <v>5972</v>
      </c>
      <c r="I1290">
        <v>26.96</v>
      </c>
    </row>
    <row r="1291" spans="1:9" ht="12.75">
      <c r="A1291">
        <v>1277</v>
      </c>
      <c r="B1291" t="s">
        <v>5973</v>
      </c>
      <c r="C1291" t="s">
        <v>868</v>
      </c>
      <c r="D1291" t="s">
        <v>2780</v>
      </c>
      <c r="E1291" t="s">
        <v>2781</v>
      </c>
      <c r="F1291" t="str">
        <f>"273/354"</f>
        <v>273/354</v>
      </c>
      <c r="G1291" t="s">
        <v>1145</v>
      </c>
      <c r="H1291" t="s">
        <v>5974</v>
      </c>
      <c r="I1291">
        <v>26.96</v>
      </c>
    </row>
    <row r="1292" spans="1:9" ht="12.75">
      <c r="A1292">
        <v>1278</v>
      </c>
      <c r="B1292" t="s">
        <v>5975</v>
      </c>
      <c r="C1292" t="s">
        <v>5826</v>
      </c>
      <c r="D1292" t="s">
        <v>2780</v>
      </c>
      <c r="E1292" t="s">
        <v>2818</v>
      </c>
      <c r="F1292" t="str">
        <f>"246/380"</f>
        <v>246/380</v>
      </c>
      <c r="G1292" t="s">
        <v>3261</v>
      </c>
      <c r="H1292" t="s">
        <v>5976</v>
      </c>
      <c r="I1292">
        <v>26.95</v>
      </c>
    </row>
    <row r="1293" spans="1:9" ht="12.75">
      <c r="A1293">
        <v>1279</v>
      </c>
      <c r="B1293" t="s">
        <v>5977</v>
      </c>
      <c r="C1293" t="s">
        <v>7199</v>
      </c>
      <c r="D1293" t="s">
        <v>2780</v>
      </c>
      <c r="E1293" t="s">
        <v>2818</v>
      </c>
      <c r="F1293" t="str">
        <f>"247/380"</f>
        <v>247/380</v>
      </c>
      <c r="G1293" t="s">
        <v>5423</v>
      </c>
      <c r="H1293" t="s">
        <v>5978</v>
      </c>
      <c r="I1293">
        <v>26.95</v>
      </c>
    </row>
    <row r="1294" spans="1:9" ht="12.75">
      <c r="A1294">
        <v>1280</v>
      </c>
      <c r="B1294" t="s">
        <v>5979</v>
      </c>
      <c r="C1294" t="s">
        <v>3114</v>
      </c>
      <c r="D1294" t="s">
        <v>2780</v>
      </c>
      <c r="E1294" t="s">
        <v>2818</v>
      </c>
      <c r="F1294" t="str">
        <f>"248/380"</f>
        <v>248/380</v>
      </c>
      <c r="G1294" t="s">
        <v>3516</v>
      </c>
      <c r="H1294" t="s">
        <v>5980</v>
      </c>
      <c r="I1294">
        <v>26.95</v>
      </c>
    </row>
    <row r="1295" spans="1:9" ht="12.75">
      <c r="A1295">
        <v>1281</v>
      </c>
      <c r="B1295" t="s">
        <v>525</v>
      </c>
      <c r="C1295" t="s">
        <v>2865</v>
      </c>
      <c r="D1295" t="s">
        <v>2780</v>
      </c>
      <c r="E1295" t="s">
        <v>2818</v>
      </c>
      <c r="F1295" t="str">
        <f>"249/380"</f>
        <v>249/380</v>
      </c>
      <c r="G1295" t="s">
        <v>302</v>
      </c>
      <c r="H1295" t="s">
        <v>5981</v>
      </c>
      <c r="I1295">
        <v>26.94</v>
      </c>
    </row>
    <row r="1296" spans="1:9" ht="12.75">
      <c r="A1296">
        <v>1282</v>
      </c>
      <c r="B1296" t="s">
        <v>5982</v>
      </c>
      <c r="C1296" t="s">
        <v>2830</v>
      </c>
      <c r="D1296" t="s">
        <v>2780</v>
      </c>
      <c r="E1296" t="s">
        <v>2973</v>
      </c>
      <c r="F1296" t="str">
        <f>"77/147"</f>
        <v>77/147</v>
      </c>
      <c r="G1296" t="s">
        <v>3543</v>
      </c>
      <c r="H1296" t="s">
        <v>5983</v>
      </c>
      <c r="I1296">
        <v>26.94</v>
      </c>
    </row>
    <row r="1297" spans="1:9" ht="12.75">
      <c r="A1297">
        <v>1283</v>
      </c>
      <c r="B1297" t="s">
        <v>5984</v>
      </c>
      <c r="C1297" t="s">
        <v>3346</v>
      </c>
      <c r="D1297" t="s">
        <v>2780</v>
      </c>
      <c r="E1297" t="s">
        <v>2818</v>
      </c>
      <c r="F1297" t="str">
        <f>"250/380"</f>
        <v>250/380</v>
      </c>
      <c r="G1297" t="s">
        <v>3261</v>
      </c>
      <c r="H1297" t="s">
        <v>5985</v>
      </c>
      <c r="I1297">
        <v>26.94</v>
      </c>
    </row>
    <row r="1298" spans="1:9" ht="12.75">
      <c r="A1298">
        <v>1284</v>
      </c>
      <c r="B1298" t="s">
        <v>5986</v>
      </c>
      <c r="C1298" t="s">
        <v>2861</v>
      </c>
      <c r="D1298" t="s">
        <v>2780</v>
      </c>
      <c r="E1298" t="s">
        <v>2823</v>
      </c>
      <c r="F1298" t="str">
        <f>"501/668"</f>
        <v>501/668</v>
      </c>
      <c r="G1298" t="s">
        <v>2140</v>
      </c>
      <c r="H1298" t="s">
        <v>5987</v>
      </c>
      <c r="I1298">
        <v>26.93</v>
      </c>
    </row>
    <row r="1299" spans="1:9" ht="12.75">
      <c r="A1299">
        <v>1285</v>
      </c>
      <c r="B1299" t="s">
        <v>5988</v>
      </c>
      <c r="C1299" t="s">
        <v>5989</v>
      </c>
      <c r="D1299" t="s">
        <v>2780</v>
      </c>
      <c r="E1299" t="s">
        <v>2799</v>
      </c>
      <c r="F1299" t="str">
        <f>"77/100"</f>
        <v>77/100</v>
      </c>
      <c r="G1299" t="s">
        <v>5990</v>
      </c>
      <c r="H1299" t="s">
        <v>5991</v>
      </c>
      <c r="I1299">
        <v>26.93</v>
      </c>
    </row>
    <row r="1300" spans="1:9" ht="12.75">
      <c r="A1300">
        <v>1286</v>
      </c>
      <c r="B1300" t="s">
        <v>1711</v>
      </c>
      <c r="C1300" t="s">
        <v>4894</v>
      </c>
      <c r="D1300" t="s">
        <v>2780</v>
      </c>
      <c r="E1300" t="s">
        <v>2823</v>
      </c>
      <c r="F1300" t="str">
        <f>"502/668"</f>
        <v>502/668</v>
      </c>
      <c r="G1300" t="s">
        <v>3516</v>
      </c>
      <c r="H1300" t="s">
        <v>5992</v>
      </c>
      <c r="I1300">
        <v>26.93</v>
      </c>
    </row>
    <row r="1301" spans="1:9" ht="12.75">
      <c r="A1301">
        <v>1287</v>
      </c>
      <c r="B1301" t="s">
        <v>5993</v>
      </c>
      <c r="C1301" t="s">
        <v>504</v>
      </c>
      <c r="D1301" t="s">
        <v>2780</v>
      </c>
      <c r="E1301" t="s">
        <v>2781</v>
      </c>
      <c r="F1301" t="str">
        <f>"274/354"</f>
        <v>274/354</v>
      </c>
      <c r="G1301" t="s">
        <v>5994</v>
      </c>
      <c r="H1301" t="s">
        <v>5995</v>
      </c>
      <c r="I1301">
        <v>26.93</v>
      </c>
    </row>
    <row r="1302" spans="1:9" ht="12.75">
      <c r="A1302">
        <v>1288</v>
      </c>
      <c r="B1302" t="s">
        <v>5996</v>
      </c>
      <c r="C1302" t="s">
        <v>2966</v>
      </c>
      <c r="D1302" t="s">
        <v>2780</v>
      </c>
      <c r="E1302" t="s">
        <v>2823</v>
      </c>
      <c r="F1302" t="str">
        <f>"503/668"</f>
        <v>503/668</v>
      </c>
      <c r="G1302" t="s">
        <v>4989</v>
      </c>
      <c r="H1302" t="s">
        <v>5997</v>
      </c>
      <c r="I1302">
        <v>26.93</v>
      </c>
    </row>
    <row r="1303" spans="1:9" ht="12.75">
      <c r="A1303">
        <v>1289</v>
      </c>
      <c r="B1303" t="s">
        <v>5998</v>
      </c>
      <c r="C1303" t="s">
        <v>3057</v>
      </c>
      <c r="D1303" t="s">
        <v>2780</v>
      </c>
      <c r="E1303" t="s">
        <v>2781</v>
      </c>
      <c r="F1303" t="str">
        <f>"275/354"</f>
        <v>275/354</v>
      </c>
      <c r="G1303" t="s">
        <v>168</v>
      </c>
      <c r="H1303" t="s">
        <v>5999</v>
      </c>
      <c r="I1303">
        <v>26.92</v>
      </c>
    </row>
    <row r="1304" spans="1:9" ht="12.75">
      <c r="A1304">
        <v>1290</v>
      </c>
      <c r="B1304" t="s">
        <v>6000</v>
      </c>
      <c r="C1304" t="s">
        <v>6001</v>
      </c>
      <c r="D1304" t="s">
        <v>2780</v>
      </c>
      <c r="E1304" t="s">
        <v>2823</v>
      </c>
      <c r="F1304" t="str">
        <f>"504/668"</f>
        <v>504/668</v>
      </c>
      <c r="G1304" t="s">
        <v>6002</v>
      </c>
      <c r="H1304" t="s">
        <v>6003</v>
      </c>
      <c r="I1304">
        <v>26.92</v>
      </c>
    </row>
    <row r="1305" spans="1:9" ht="12.75">
      <c r="A1305">
        <v>1291</v>
      </c>
      <c r="B1305" t="s">
        <v>6004</v>
      </c>
      <c r="C1305" t="s">
        <v>2868</v>
      </c>
      <c r="D1305" t="s">
        <v>2780</v>
      </c>
      <c r="E1305" t="s">
        <v>2818</v>
      </c>
      <c r="F1305" t="str">
        <f>"251/380"</f>
        <v>251/380</v>
      </c>
      <c r="G1305" t="s">
        <v>2008</v>
      </c>
      <c r="H1305" t="s">
        <v>6005</v>
      </c>
      <c r="I1305">
        <v>26.92</v>
      </c>
    </row>
    <row r="1306" spans="1:9" ht="12.75">
      <c r="A1306">
        <v>1292</v>
      </c>
      <c r="B1306" t="s">
        <v>997</v>
      </c>
      <c r="C1306" t="s">
        <v>2963</v>
      </c>
      <c r="D1306" t="s">
        <v>2780</v>
      </c>
      <c r="E1306" t="s">
        <v>2799</v>
      </c>
      <c r="F1306" t="str">
        <f>"78/100"</f>
        <v>78/100</v>
      </c>
      <c r="G1306" t="s">
        <v>2994</v>
      </c>
      <c r="H1306" t="s">
        <v>6006</v>
      </c>
      <c r="I1306">
        <v>26.91</v>
      </c>
    </row>
    <row r="1307" spans="1:9" ht="12.75">
      <c r="A1307">
        <v>1293</v>
      </c>
      <c r="B1307" t="s">
        <v>6007</v>
      </c>
      <c r="C1307" t="s">
        <v>2861</v>
      </c>
      <c r="D1307" t="s">
        <v>2780</v>
      </c>
      <c r="E1307" t="s">
        <v>2823</v>
      </c>
      <c r="F1307" t="str">
        <f>"505/668"</f>
        <v>505/668</v>
      </c>
      <c r="G1307" t="s">
        <v>1626</v>
      </c>
      <c r="H1307" t="s">
        <v>6008</v>
      </c>
      <c r="I1307">
        <v>26.91</v>
      </c>
    </row>
    <row r="1308" spans="1:9" ht="12.75">
      <c r="A1308">
        <v>1294</v>
      </c>
      <c r="B1308" t="s">
        <v>3227</v>
      </c>
      <c r="C1308" t="s">
        <v>2931</v>
      </c>
      <c r="D1308" t="s">
        <v>2780</v>
      </c>
      <c r="E1308" t="s">
        <v>2823</v>
      </c>
      <c r="F1308" t="str">
        <f>"506/668"</f>
        <v>506/668</v>
      </c>
      <c r="G1308" t="s">
        <v>1626</v>
      </c>
      <c r="H1308" t="s">
        <v>6009</v>
      </c>
      <c r="I1308">
        <v>26.9</v>
      </c>
    </row>
    <row r="1309" spans="1:9" ht="12.75">
      <c r="A1309">
        <v>1295</v>
      </c>
      <c r="B1309" t="s">
        <v>2835</v>
      </c>
      <c r="C1309" t="s">
        <v>1662</v>
      </c>
      <c r="D1309" t="s">
        <v>2780</v>
      </c>
      <c r="E1309" t="s">
        <v>2823</v>
      </c>
      <c r="F1309" t="str">
        <f>"507/668"</f>
        <v>507/668</v>
      </c>
      <c r="G1309" t="s">
        <v>5433</v>
      </c>
      <c r="H1309" t="s">
        <v>6010</v>
      </c>
      <c r="I1309">
        <v>26.9</v>
      </c>
    </row>
    <row r="1310" spans="1:9" ht="12.75">
      <c r="A1310">
        <v>1296</v>
      </c>
      <c r="B1310" t="s">
        <v>6011</v>
      </c>
      <c r="C1310" t="s">
        <v>2966</v>
      </c>
      <c r="D1310" t="s">
        <v>2780</v>
      </c>
      <c r="E1310" t="s">
        <v>2818</v>
      </c>
      <c r="F1310" t="str">
        <f>"252/380"</f>
        <v>252/380</v>
      </c>
      <c r="G1310" t="s">
        <v>1608</v>
      </c>
      <c r="H1310" t="s">
        <v>6012</v>
      </c>
      <c r="I1310">
        <v>26.9</v>
      </c>
    </row>
    <row r="1311" spans="1:9" ht="12.75">
      <c r="A1311">
        <v>1297</v>
      </c>
      <c r="B1311" t="s">
        <v>987</v>
      </c>
      <c r="C1311" t="s">
        <v>3576</v>
      </c>
      <c r="D1311" t="s">
        <v>2780</v>
      </c>
      <c r="E1311" t="s">
        <v>2973</v>
      </c>
      <c r="F1311" t="str">
        <f>"78/147"</f>
        <v>78/147</v>
      </c>
      <c r="G1311" t="s">
        <v>0</v>
      </c>
      <c r="H1311" t="s">
        <v>6013</v>
      </c>
      <c r="I1311">
        <v>26.9</v>
      </c>
    </row>
    <row r="1312" spans="1:9" ht="12.75">
      <c r="A1312">
        <v>1298</v>
      </c>
      <c r="B1312" t="s">
        <v>6014</v>
      </c>
      <c r="C1312" t="s">
        <v>6015</v>
      </c>
      <c r="D1312" t="s">
        <v>2780</v>
      </c>
      <c r="E1312" t="s">
        <v>2973</v>
      </c>
      <c r="F1312" t="str">
        <f>"79/147"</f>
        <v>79/147</v>
      </c>
      <c r="G1312" t="s">
        <v>59</v>
      </c>
      <c r="H1312" t="s">
        <v>6016</v>
      </c>
      <c r="I1312">
        <v>26.9</v>
      </c>
    </row>
    <row r="1313" spans="1:9" ht="12.75">
      <c r="A1313">
        <v>1299</v>
      </c>
      <c r="B1313" t="s">
        <v>6017</v>
      </c>
      <c r="C1313" t="s">
        <v>3417</v>
      </c>
      <c r="D1313" t="s">
        <v>2780</v>
      </c>
      <c r="E1313" t="s">
        <v>2973</v>
      </c>
      <c r="F1313" t="str">
        <f>"80/147"</f>
        <v>80/147</v>
      </c>
      <c r="G1313" t="s">
        <v>3543</v>
      </c>
      <c r="H1313" t="s">
        <v>6018</v>
      </c>
      <c r="I1313">
        <v>26.9</v>
      </c>
    </row>
    <row r="1314" spans="1:9" ht="12.75">
      <c r="A1314">
        <v>1300</v>
      </c>
      <c r="B1314" t="s">
        <v>3200</v>
      </c>
      <c r="C1314" t="s">
        <v>3542</v>
      </c>
      <c r="D1314" t="s">
        <v>2780</v>
      </c>
      <c r="E1314" t="s">
        <v>2823</v>
      </c>
      <c r="F1314" t="str">
        <f>"508/668"</f>
        <v>508/668</v>
      </c>
      <c r="G1314" t="s">
        <v>4678</v>
      </c>
      <c r="H1314" t="s">
        <v>6019</v>
      </c>
      <c r="I1314">
        <v>26.9</v>
      </c>
    </row>
    <row r="1315" spans="1:9" ht="12.75">
      <c r="A1315">
        <v>1301</v>
      </c>
      <c r="B1315" t="s">
        <v>6020</v>
      </c>
      <c r="C1315" t="s">
        <v>2830</v>
      </c>
      <c r="D1315" t="s">
        <v>2780</v>
      </c>
      <c r="E1315" t="s">
        <v>2818</v>
      </c>
      <c r="F1315" t="str">
        <f>"253/380"</f>
        <v>253/380</v>
      </c>
      <c r="G1315" t="s">
        <v>1705</v>
      </c>
      <c r="H1315" t="s">
        <v>6021</v>
      </c>
      <c r="I1315">
        <v>26.9</v>
      </c>
    </row>
    <row r="1316" spans="1:9" ht="12.75">
      <c r="A1316">
        <v>1302</v>
      </c>
      <c r="B1316" t="s">
        <v>5635</v>
      </c>
      <c r="C1316" t="s">
        <v>2895</v>
      </c>
      <c r="D1316" t="s">
        <v>2780</v>
      </c>
      <c r="E1316" t="s">
        <v>2823</v>
      </c>
      <c r="F1316" t="str">
        <f>"509/668"</f>
        <v>509/668</v>
      </c>
      <c r="G1316" t="s">
        <v>4410</v>
      </c>
      <c r="H1316" t="s">
        <v>6022</v>
      </c>
      <c r="I1316">
        <v>26.9</v>
      </c>
    </row>
    <row r="1317" spans="1:9" ht="12.75">
      <c r="A1317">
        <v>1303</v>
      </c>
      <c r="B1317" t="s">
        <v>1142</v>
      </c>
      <c r="C1317" t="s">
        <v>3017</v>
      </c>
      <c r="D1317" t="s">
        <v>2780</v>
      </c>
      <c r="E1317" t="s">
        <v>2781</v>
      </c>
      <c r="F1317" t="str">
        <f>"276/354"</f>
        <v>276/354</v>
      </c>
      <c r="G1317" t="s">
        <v>2889</v>
      </c>
      <c r="H1317" t="s">
        <v>6023</v>
      </c>
      <c r="I1317">
        <v>26.9</v>
      </c>
    </row>
    <row r="1318" spans="1:9" ht="12.75">
      <c r="A1318">
        <v>1304</v>
      </c>
      <c r="B1318" t="s">
        <v>6024</v>
      </c>
      <c r="C1318" t="s">
        <v>2931</v>
      </c>
      <c r="D1318" t="s">
        <v>2780</v>
      </c>
      <c r="E1318" t="s">
        <v>2973</v>
      </c>
      <c r="F1318" t="str">
        <f>"81/147"</f>
        <v>81/147</v>
      </c>
      <c r="G1318" t="s">
        <v>3543</v>
      </c>
      <c r="H1318" t="s">
        <v>6025</v>
      </c>
      <c r="I1318">
        <v>26.9</v>
      </c>
    </row>
    <row r="1319" spans="1:9" ht="12.75">
      <c r="A1319">
        <v>1305</v>
      </c>
      <c r="B1319" t="s">
        <v>6026</v>
      </c>
      <c r="C1319" t="s">
        <v>2902</v>
      </c>
      <c r="D1319" t="s">
        <v>2780</v>
      </c>
      <c r="E1319" t="s">
        <v>2818</v>
      </c>
      <c r="F1319" t="str">
        <f>"254/380"</f>
        <v>254/380</v>
      </c>
      <c r="G1319" t="s">
        <v>2994</v>
      </c>
      <c r="H1319" t="s">
        <v>6027</v>
      </c>
      <c r="I1319">
        <v>26.9</v>
      </c>
    </row>
    <row r="1320" spans="1:9" ht="12.75">
      <c r="A1320">
        <v>1306</v>
      </c>
      <c r="B1320" t="s">
        <v>6028</v>
      </c>
      <c r="C1320" t="s">
        <v>3337</v>
      </c>
      <c r="D1320" t="s">
        <v>2780</v>
      </c>
      <c r="E1320" t="s">
        <v>2823</v>
      </c>
      <c r="F1320" t="str">
        <f>"510/668"</f>
        <v>510/668</v>
      </c>
      <c r="G1320" t="s">
        <v>3261</v>
      </c>
      <c r="H1320" t="s">
        <v>6029</v>
      </c>
      <c r="I1320">
        <v>26.89</v>
      </c>
    </row>
    <row r="1321" spans="1:9" ht="12.75">
      <c r="A1321">
        <v>1307</v>
      </c>
      <c r="B1321" t="s">
        <v>6030</v>
      </c>
      <c r="C1321" t="s">
        <v>3008</v>
      </c>
      <c r="D1321" t="s">
        <v>2780</v>
      </c>
      <c r="E1321" t="s">
        <v>2781</v>
      </c>
      <c r="F1321" t="str">
        <f>"277/354"</f>
        <v>277/354</v>
      </c>
      <c r="G1321" t="s">
        <v>3217</v>
      </c>
      <c r="H1321" t="s">
        <v>6031</v>
      </c>
      <c r="I1321">
        <v>26.89</v>
      </c>
    </row>
    <row r="1322" spans="1:9" ht="12.75">
      <c r="A1322">
        <v>1308</v>
      </c>
      <c r="B1322" t="s">
        <v>3311</v>
      </c>
      <c r="C1322" t="s">
        <v>149</v>
      </c>
      <c r="D1322" t="s">
        <v>2780</v>
      </c>
      <c r="E1322" t="s">
        <v>2973</v>
      </c>
      <c r="F1322" t="str">
        <f>"82/147"</f>
        <v>82/147</v>
      </c>
      <c r="G1322" t="s">
        <v>377</v>
      </c>
      <c r="H1322" t="s">
        <v>6032</v>
      </c>
      <c r="I1322">
        <v>26.89</v>
      </c>
    </row>
    <row r="1323" spans="1:9" ht="12.75">
      <c r="A1323">
        <v>1309</v>
      </c>
      <c r="B1323" t="s">
        <v>6033</v>
      </c>
      <c r="C1323" t="s">
        <v>2836</v>
      </c>
      <c r="D1323" t="s">
        <v>2780</v>
      </c>
      <c r="E1323" t="s">
        <v>2823</v>
      </c>
      <c r="F1323" t="str">
        <f>"511/668"</f>
        <v>511/668</v>
      </c>
      <c r="G1323" t="s">
        <v>4978</v>
      </c>
      <c r="H1323" t="s">
        <v>6034</v>
      </c>
      <c r="I1323">
        <v>26.88</v>
      </c>
    </row>
    <row r="1324" spans="1:9" ht="12.75">
      <c r="A1324">
        <v>1310</v>
      </c>
      <c r="B1324" t="s">
        <v>6035</v>
      </c>
      <c r="C1324" t="s">
        <v>2814</v>
      </c>
      <c r="D1324" t="s">
        <v>2780</v>
      </c>
      <c r="E1324" t="s">
        <v>2781</v>
      </c>
      <c r="F1324" t="str">
        <f>"278/354"</f>
        <v>278/354</v>
      </c>
      <c r="G1324" t="s">
        <v>6036</v>
      </c>
      <c r="H1324" t="s">
        <v>6037</v>
      </c>
      <c r="I1324">
        <v>26.88</v>
      </c>
    </row>
    <row r="1325" spans="1:9" ht="12.75">
      <c r="A1325">
        <v>1311</v>
      </c>
      <c r="B1325" t="s">
        <v>6038</v>
      </c>
      <c r="C1325" t="s">
        <v>3283</v>
      </c>
      <c r="D1325" t="s">
        <v>2780</v>
      </c>
      <c r="E1325" t="s">
        <v>2818</v>
      </c>
      <c r="F1325" t="str">
        <f>"255/380"</f>
        <v>255/380</v>
      </c>
      <c r="G1325" t="s">
        <v>3011</v>
      </c>
      <c r="H1325" t="s">
        <v>6039</v>
      </c>
      <c r="I1325">
        <v>26.88</v>
      </c>
    </row>
    <row r="1326" spans="1:9" ht="12.75">
      <c r="A1326">
        <v>1312</v>
      </c>
      <c r="B1326" t="s">
        <v>2864</v>
      </c>
      <c r="C1326" t="s">
        <v>2807</v>
      </c>
      <c r="D1326" t="s">
        <v>2780</v>
      </c>
      <c r="E1326" t="s">
        <v>2781</v>
      </c>
      <c r="F1326" t="str">
        <f>"279/354"</f>
        <v>279/354</v>
      </c>
      <c r="G1326" t="s">
        <v>59</v>
      </c>
      <c r="H1326" t="s">
        <v>6040</v>
      </c>
      <c r="I1326">
        <v>26.87</v>
      </c>
    </row>
    <row r="1327" spans="1:9" ht="12.75">
      <c r="A1327">
        <v>1313</v>
      </c>
      <c r="B1327" t="s">
        <v>6041</v>
      </c>
      <c r="C1327" t="s">
        <v>1201</v>
      </c>
      <c r="D1327" t="s">
        <v>3031</v>
      </c>
      <c r="E1327" t="s">
        <v>3032</v>
      </c>
      <c r="F1327" t="str">
        <f>"19/25"</f>
        <v>19/25</v>
      </c>
      <c r="G1327" t="s">
        <v>7765</v>
      </c>
      <c r="H1327" t="s">
        <v>6042</v>
      </c>
      <c r="I1327">
        <v>26.87</v>
      </c>
    </row>
    <row r="1328" spans="1:9" ht="12.75">
      <c r="A1328">
        <v>1314</v>
      </c>
      <c r="B1328" t="s">
        <v>2864</v>
      </c>
      <c r="C1328" t="s">
        <v>2836</v>
      </c>
      <c r="D1328" t="s">
        <v>2780</v>
      </c>
      <c r="E1328" t="s">
        <v>2781</v>
      </c>
      <c r="F1328" t="str">
        <f>"280/354"</f>
        <v>280/354</v>
      </c>
      <c r="G1328" t="s">
        <v>59</v>
      </c>
      <c r="H1328" t="s">
        <v>6043</v>
      </c>
      <c r="I1328">
        <v>26.87</v>
      </c>
    </row>
    <row r="1329" spans="1:9" ht="12.75">
      <c r="A1329">
        <v>1315</v>
      </c>
      <c r="B1329" t="s">
        <v>6044</v>
      </c>
      <c r="C1329" t="s">
        <v>2826</v>
      </c>
      <c r="D1329" t="s">
        <v>2780</v>
      </c>
      <c r="E1329" t="s">
        <v>2781</v>
      </c>
      <c r="F1329" t="str">
        <f>"281/354"</f>
        <v>281/354</v>
      </c>
      <c r="G1329" t="s">
        <v>2252</v>
      </c>
      <c r="H1329" t="s">
        <v>6045</v>
      </c>
      <c r="I1329">
        <v>26.87</v>
      </c>
    </row>
    <row r="1330" spans="1:9" ht="12.75">
      <c r="A1330">
        <v>1316</v>
      </c>
      <c r="B1330" t="s">
        <v>6046</v>
      </c>
      <c r="C1330" t="s">
        <v>2840</v>
      </c>
      <c r="D1330" t="s">
        <v>2780</v>
      </c>
      <c r="E1330" t="s">
        <v>2781</v>
      </c>
      <c r="F1330" t="str">
        <f>"282/354"</f>
        <v>282/354</v>
      </c>
      <c r="G1330" t="s">
        <v>4496</v>
      </c>
      <c r="H1330" t="s">
        <v>6047</v>
      </c>
      <c r="I1330">
        <v>26.86</v>
      </c>
    </row>
    <row r="1331" spans="1:9" ht="12.75">
      <c r="A1331">
        <v>1317</v>
      </c>
      <c r="B1331" t="s">
        <v>4045</v>
      </c>
      <c r="C1331" t="s">
        <v>2779</v>
      </c>
      <c r="D1331" t="s">
        <v>2780</v>
      </c>
      <c r="E1331" t="s">
        <v>2823</v>
      </c>
      <c r="F1331" t="str">
        <f>"512/668"</f>
        <v>512/668</v>
      </c>
      <c r="G1331" t="s">
        <v>4427</v>
      </c>
      <c r="H1331" t="s">
        <v>6048</v>
      </c>
      <c r="I1331">
        <v>26.85</v>
      </c>
    </row>
    <row r="1332" spans="1:9" ht="12.75">
      <c r="A1332">
        <v>1318</v>
      </c>
      <c r="B1332" t="s">
        <v>6049</v>
      </c>
      <c r="C1332" t="s">
        <v>3554</v>
      </c>
      <c r="D1332" t="s">
        <v>2780</v>
      </c>
      <c r="E1332" t="s">
        <v>2818</v>
      </c>
      <c r="F1332" t="str">
        <f>"256/380"</f>
        <v>256/380</v>
      </c>
      <c r="G1332" t="s">
        <v>6050</v>
      </c>
      <c r="H1332" t="s">
        <v>6048</v>
      </c>
      <c r="I1332">
        <v>26.85</v>
      </c>
    </row>
    <row r="1333" spans="1:9" ht="12.75">
      <c r="A1333">
        <v>1319</v>
      </c>
      <c r="B1333" t="s">
        <v>6051</v>
      </c>
      <c r="C1333" t="s">
        <v>3174</v>
      </c>
      <c r="D1333" t="s">
        <v>2780</v>
      </c>
      <c r="E1333" t="s">
        <v>2781</v>
      </c>
      <c r="F1333" t="str">
        <f>"283/354"</f>
        <v>283/354</v>
      </c>
      <c r="G1333" t="s">
        <v>446</v>
      </c>
      <c r="H1333" t="s">
        <v>6052</v>
      </c>
      <c r="I1333">
        <v>26.83</v>
      </c>
    </row>
    <row r="1334" spans="1:9" ht="12.75">
      <c r="A1334">
        <v>1320</v>
      </c>
      <c r="B1334" t="s">
        <v>5116</v>
      </c>
      <c r="C1334" t="s">
        <v>84</v>
      </c>
      <c r="D1334" t="s">
        <v>2780</v>
      </c>
      <c r="E1334" t="s">
        <v>2818</v>
      </c>
      <c r="F1334" t="str">
        <f>"257/380"</f>
        <v>257/380</v>
      </c>
      <c r="G1334" t="s">
        <v>5923</v>
      </c>
      <c r="H1334" t="s">
        <v>6053</v>
      </c>
      <c r="I1334">
        <v>26.81</v>
      </c>
    </row>
    <row r="1335" spans="1:9" ht="12.75">
      <c r="A1335">
        <v>1321</v>
      </c>
      <c r="B1335" t="s">
        <v>7251</v>
      </c>
      <c r="C1335" t="s">
        <v>3438</v>
      </c>
      <c r="D1335" t="s">
        <v>2780</v>
      </c>
      <c r="E1335" t="s">
        <v>2786</v>
      </c>
      <c r="F1335" t="str">
        <f>"37/44"</f>
        <v>37/44</v>
      </c>
      <c r="G1335" t="s">
        <v>2243</v>
      </c>
      <c r="H1335" t="s">
        <v>6054</v>
      </c>
      <c r="I1335">
        <v>26.8</v>
      </c>
    </row>
    <row r="1336" spans="1:9" ht="12.75">
      <c r="A1336">
        <v>1322</v>
      </c>
      <c r="B1336" t="s">
        <v>6055</v>
      </c>
      <c r="C1336" t="s">
        <v>6056</v>
      </c>
      <c r="D1336" t="s">
        <v>2780</v>
      </c>
      <c r="E1336" t="s">
        <v>3209</v>
      </c>
      <c r="F1336" t="str">
        <f>"10/13"</f>
        <v>10/13</v>
      </c>
      <c r="G1336" t="s">
        <v>2262</v>
      </c>
      <c r="H1336" t="s">
        <v>6057</v>
      </c>
      <c r="I1336">
        <v>26.8</v>
      </c>
    </row>
    <row r="1337" spans="1:9" ht="12.75">
      <c r="A1337">
        <v>1323</v>
      </c>
      <c r="B1337" t="s">
        <v>6058</v>
      </c>
      <c r="C1337" t="s">
        <v>165</v>
      </c>
      <c r="D1337" t="s">
        <v>2780</v>
      </c>
      <c r="E1337" t="s">
        <v>2823</v>
      </c>
      <c r="F1337" t="str">
        <f>"513/668"</f>
        <v>513/668</v>
      </c>
      <c r="G1337" t="s">
        <v>2290</v>
      </c>
      <c r="H1337" t="s">
        <v>6059</v>
      </c>
      <c r="I1337">
        <v>26.78</v>
      </c>
    </row>
    <row r="1338" spans="1:9" ht="12.75">
      <c r="A1338">
        <v>1324</v>
      </c>
      <c r="B1338" t="s">
        <v>6060</v>
      </c>
      <c r="C1338" t="s">
        <v>3417</v>
      </c>
      <c r="D1338" t="s">
        <v>2780</v>
      </c>
      <c r="E1338" t="s">
        <v>2818</v>
      </c>
      <c r="F1338" t="str">
        <f>"258/380"</f>
        <v>258/380</v>
      </c>
      <c r="G1338" t="s">
        <v>5062</v>
      </c>
      <c r="H1338" t="s">
        <v>6061</v>
      </c>
      <c r="I1338">
        <v>26.78</v>
      </c>
    </row>
    <row r="1339" spans="1:9" ht="12.75">
      <c r="A1339">
        <v>1325</v>
      </c>
      <c r="B1339" t="s">
        <v>6062</v>
      </c>
      <c r="C1339" t="s">
        <v>3021</v>
      </c>
      <c r="D1339" t="s">
        <v>2780</v>
      </c>
      <c r="E1339" t="s">
        <v>2781</v>
      </c>
      <c r="F1339" t="str">
        <f>"284/354"</f>
        <v>284/354</v>
      </c>
      <c r="G1339" t="s">
        <v>4929</v>
      </c>
      <c r="H1339" t="s">
        <v>6063</v>
      </c>
      <c r="I1339">
        <v>26.78</v>
      </c>
    </row>
    <row r="1340" spans="1:9" ht="12.75">
      <c r="A1340">
        <v>1326</v>
      </c>
      <c r="B1340" t="s">
        <v>6064</v>
      </c>
      <c r="C1340" t="s">
        <v>2836</v>
      </c>
      <c r="D1340" t="s">
        <v>2780</v>
      </c>
      <c r="E1340" t="s">
        <v>2818</v>
      </c>
      <c r="F1340" t="str">
        <f>"259/380"</f>
        <v>259/380</v>
      </c>
      <c r="G1340" t="s">
        <v>5065</v>
      </c>
      <c r="H1340" t="s">
        <v>6065</v>
      </c>
      <c r="I1340">
        <v>26.77</v>
      </c>
    </row>
    <row r="1341" spans="1:9" ht="12.75">
      <c r="A1341">
        <v>1327</v>
      </c>
      <c r="B1341" t="s">
        <v>6066</v>
      </c>
      <c r="C1341" t="s">
        <v>2840</v>
      </c>
      <c r="D1341" t="s">
        <v>2780</v>
      </c>
      <c r="E1341" t="s">
        <v>2818</v>
      </c>
      <c r="F1341" t="str">
        <f>"260/380"</f>
        <v>260/380</v>
      </c>
      <c r="G1341" t="s">
        <v>6067</v>
      </c>
      <c r="H1341" t="s">
        <v>6068</v>
      </c>
      <c r="I1341">
        <v>26.76</v>
      </c>
    </row>
    <row r="1342" spans="1:9" ht="12.75">
      <c r="A1342">
        <v>1328</v>
      </c>
      <c r="B1342" t="s">
        <v>6069</v>
      </c>
      <c r="C1342" t="s">
        <v>54</v>
      </c>
      <c r="D1342" t="s">
        <v>2780</v>
      </c>
      <c r="E1342" t="s">
        <v>2818</v>
      </c>
      <c r="F1342" t="str">
        <f>"261/380"</f>
        <v>261/380</v>
      </c>
      <c r="G1342" t="s">
        <v>2982</v>
      </c>
      <c r="H1342" t="s">
        <v>6070</v>
      </c>
      <c r="I1342">
        <v>26.76</v>
      </c>
    </row>
    <row r="1343" spans="1:9" ht="12.75">
      <c r="A1343">
        <v>1329</v>
      </c>
      <c r="B1343" t="s">
        <v>2843</v>
      </c>
      <c r="C1343" t="s">
        <v>3057</v>
      </c>
      <c r="D1343" t="s">
        <v>2780</v>
      </c>
      <c r="E1343" t="s">
        <v>2818</v>
      </c>
      <c r="F1343" t="str">
        <f>"262/380"</f>
        <v>262/380</v>
      </c>
      <c r="G1343" t="s">
        <v>2074</v>
      </c>
      <c r="H1343" t="s">
        <v>6071</v>
      </c>
      <c r="I1343">
        <v>26.76</v>
      </c>
    </row>
    <row r="1344" spans="1:9" ht="12.75">
      <c r="A1344">
        <v>1330</v>
      </c>
      <c r="B1344" t="s">
        <v>120</v>
      </c>
      <c r="C1344" t="s">
        <v>2836</v>
      </c>
      <c r="D1344" t="s">
        <v>2780</v>
      </c>
      <c r="E1344" t="s">
        <v>2818</v>
      </c>
      <c r="F1344" t="str">
        <f>"263/380"</f>
        <v>263/380</v>
      </c>
      <c r="G1344" t="s">
        <v>2889</v>
      </c>
      <c r="H1344" t="s">
        <v>6072</v>
      </c>
      <c r="I1344">
        <v>26.72</v>
      </c>
    </row>
    <row r="1345" spans="1:9" ht="12.75">
      <c r="A1345">
        <v>1331</v>
      </c>
      <c r="B1345" t="s">
        <v>3481</v>
      </c>
      <c r="C1345" t="s">
        <v>2942</v>
      </c>
      <c r="D1345" t="s">
        <v>2780</v>
      </c>
      <c r="E1345" t="s">
        <v>2973</v>
      </c>
      <c r="F1345" t="str">
        <f>"83/147"</f>
        <v>83/147</v>
      </c>
      <c r="G1345" t="s">
        <v>3555</v>
      </c>
      <c r="H1345" t="s">
        <v>6073</v>
      </c>
      <c r="I1345">
        <v>26.72</v>
      </c>
    </row>
    <row r="1346" spans="1:9" ht="12.75">
      <c r="A1346">
        <v>1332</v>
      </c>
      <c r="B1346" t="s">
        <v>2856</v>
      </c>
      <c r="C1346" t="s">
        <v>2963</v>
      </c>
      <c r="D1346" t="s">
        <v>2780</v>
      </c>
      <c r="E1346" t="s">
        <v>2923</v>
      </c>
      <c r="F1346" t="str">
        <f>"3/5"</f>
        <v>3/5</v>
      </c>
      <c r="H1346" t="s">
        <v>6074</v>
      </c>
      <c r="I1346">
        <v>26.72</v>
      </c>
    </row>
    <row r="1347" spans="1:9" ht="12.75">
      <c r="A1347">
        <v>1333</v>
      </c>
      <c r="B1347" t="s">
        <v>6075</v>
      </c>
      <c r="C1347" t="s">
        <v>2895</v>
      </c>
      <c r="D1347" t="s">
        <v>2780</v>
      </c>
      <c r="E1347" t="s">
        <v>2823</v>
      </c>
      <c r="F1347" t="str">
        <f>"514/668"</f>
        <v>514/668</v>
      </c>
      <c r="G1347" t="s">
        <v>6076</v>
      </c>
      <c r="H1347" t="s">
        <v>6077</v>
      </c>
      <c r="I1347">
        <v>26.71</v>
      </c>
    </row>
    <row r="1348" spans="1:9" ht="12.75">
      <c r="A1348">
        <v>1334</v>
      </c>
      <c r="B1348" t="s">
        <v>63</v>
      </c>
      <c r="C1348" t="s">
        <v>137</v>
      </c>
      <c r="D1348" t="s">
        <v>2780</v>
      </c>
      <c r="E1348" t="s">
        <v>2823</v>
      </c>
      <c r="F1348" t="str">
        <f>"515/668"</f>
        <v>515/668</v>
      </c>
      <c r="G1348" t="s">
        <v>4286</v>
      </c>
      <c r="H1348" t="s">
        <v>6078</v>
      </c>
      <c r="I1348">
        <v>26.71</v>
      </c>
    </row>
    <row r="1349" spans="1:9" ht="12.75">
      <c r="A1349">
        <v>1335</v>
      </c>
      <c r="B1349" t="s">
        <v>7352</v>
      </c>
      <c r="C1349" t="s">
        <v>191</v>
      </c>
      <c r="D1349" t="s">
        <v>2780</v>
      </c>
      <c r="E1349" t="s">
        <v>2818</v>
      </c>
      <c r="F1349" t="str">
        <f>"264/380"</f>
        <v>264/380</v>
      </c>
      <c r="G1349" t="s">
        <v>6079</v>
      </c>
      <c r="H1349" t="s">
        <v>6080</v>
      </c>
      <c r="I1349">
        <v>26.7</v>
      </c>
    </row>
    <row r="1350" spans="1:9" ht="12.75">
      <c r="A1350">
        <v>1336</v>
      </c>
      <c r="B1350" t="s">
        <v>7494</v>
      </c>
      <c r="C1350" t="s">
        <v>3421</v>
      </c>
      <c r="D1350" t="s">
        <v>2780</v>
      </c>
      <c r="E1350" t="s">
        <v>2781</v>
      </c>
      <c r="F1350" t="str">
        <f>"285/354"</f>
        <v>285/354</v>
      </c>
      <c r="G1350" t="s">
        <v>2994</v>
      </c>
      <c r="H1350" t="s">
        <v>6081</v>
      </c>
      <c r="I1350">
        <v>26.69</v>
      </c>
    </row>
    <row r="1351" spans="1:9" ht="12.75">
      <c r="A1351">
        <v>1337</v>
      </c>
      <c r="B1351" t="s">
        <v>6082</v>
      </c>
      <c r="C1351" t="s">
        <v>3337</v>
      </c>
      <c r="D1351" t="s">
        <v>2780</v>
      </c>
      <c r="E1351" t="s">
        <v>2781</v>
      </c>
      <c r="F1351" t="str">
        <f>"286/354"</f>
        <v>286/354</v>
      </c>
      <c r="G1351" t="s">
        <v>1104</v>
      </c>
      <c r="H1351" t="s">
        <v>6081</v>
      </c>
      <c r="I1351">
        <v>26.69</v>
      </c>
    </row>
    <row r="1352" spans="1:9" ht="12.75">
      <c r="A1352">
        <v>1338</v>
      </c>
      <c r="B1352" t="s">
        <v>823</v>
      </c>
      <c r="C1352" t="s">
        <v>6083</v>
      </c>
      <c r="D1352" t="s">
        <v>2780</v>
      </c>
      <c r="E1352" t="s">
        <v>2818</v>
      </c>
      <c r="F1352" t="str">
        <f>"265/380"</f>
        <v>265/380</v>
      </c>
      <c r="G1352" t="s">
        <v>6084</v>
      </c>
      <c r="H1352" t="s">
        <v>6085</v>
      </c>
      <c r="I1352">
        <v>26.68</v>
      </c>
    </row>
    <row r="1353" spans="1:9" ht="12.75">
      <c r="A1353">
        <v>1339</v>
      </c>
      <c r="B1353" t="s">
        <v>7198</v>
      </c>
      <c r="C1353" t="s">
        <v>2840</v>
      </c>
      <c r="D1353" t="s">
        <v>2780</v>
      </c>
      <c r="E1353" t="s">
        <v>2818</v>
      </c>
      <c r="F1353" t="str">
        <f>"266/380"</f>
        <v>266/380</v>
      </c>
      <c r="G1353" t="s">
        <v>6084</v>
      </c>
      <c r="H1353" t="s">
        <v>6086</v>
      </c>
      <c r="I1353">
        <v>26.67</v>
      </c>
    </row>
    <row r="1354" spans="1:9" ht="12.75">
      <c r="A1354">
        <v>1340</v>
      </c>
      <c r="B1354" t="s">
        <v>6087</v>
      </c>
      <c r="C1354" t="s">
        <v>5304</v>
      </c>
      <c r="D1354" t="s">
        <v>2780</v>
      </c>
      <c r="E1354" t="s">
        <v>2823</v>
      </c>
      <c r="F1354" t="str">
        <f>"516/668"</f>
        <v>516/668</v>
      </c>
      <c r="G1354" t="s">
        <v>6088</v>
      </c>
      <c r="H1354" t="s">
        <v>6089</v>
      </c>
      <c r="I1354">
        <v>26.67</v>
      </c>
    </row>
    <row r="1355" spans="1:9" ht="12.75">
      <c r="A1355">
        <v>1341</v>
      </c>
      <c r="B1355" t="s">
        <v>5898</v>
      </c>
      <c r="C1355" t="s">
        <v>2861</v>
      </c>
      <c r="D1355" t="s">
        <v>2780</v>
      </c>
      <c r="E1355" t="s">
        <v>2823</v>
      </c>
      <c r="F1355" t="str">
        <f>"517/668"</f>
        <v>517/668</v>
      </c>
      <c r="G1355" t="s">
        <v>6090</v>
      </c>
      <c r="H1355" t="s">
        <v>6091</v>
      </c>
      <c r="I1355">
        <v>26.67</v>
      </c>
    </row>
    <row r="1356" spans="1:9" ht="12.75">
      <c r="A1356">
        <v>1342</v>
      </c>
      <c r="B1356" t="s">
        <v>6064</v>
      </c>
      <c r="C1356" t="s">
        <v>2865</v>
      </c>
      <c r="D1356" t="s">
        <v>2780</v>
      </c>
      <c r="E1356" t="s">
        <v>2823</v>
      </c>
      <c r="F1356" t="str">
        <f>"518/668"</f>
        <v>518/668</v>
      </c>
      <c r="G1356" t="s">
        <v>6092</v>
      </c>
      <c r="H1356" t="s">
        <v>6093</v>
      </c>
      <c r="I1356">
        <v>26.67</v>
      </c>
    </row>
    <row r="1357" spans="1:9" ht="12.75">
      <c r="A1357">
        <v>1343</v>
      </c>
      <c r="B1357" t="s">
        <v>6094</v>
      </c>
      <c r="C1357" t="s">
        <v>256</v>
      </c>
      <c r="D1357" t="s">
        <v>2780</v>
      </c>
      <c r="E1357" t="s">
        <v>2823</v>
      </c>
      <c r="F1357" t="str">
        <f>"519/668"</f>
        <v>519/668</v>
      </c>
      <c r="G1357" t="s">
        <v>1177</v>
      </c>
      <c r="H1357" t="s">
        <v>6095</v>
      </c>
      <c r="I1357">
        <v>26.67</v>
      </c>
    </row>
    <row r="1358" spans="1:9" ht="12.75">
      <c r="A1358">
        <v>1344</v>
      </c>
      <c r="B1358" t="s">
        <v>6096</v>
      </c>
      <c r="C1358" t="s">
        <v>2836</v>
      </c>
      <c r="D1358" t="s">
        <v>2780</v>
      </c>
      <c r="E1358" t="s">
        <v>2781</v>
      </c>
      <c r="F1358" t="str">
        <f>"287/354"</f>
        <v>287/354</v>
      </c>
      <c r="G1358" t="s">
        <v>2936</v>
      </c>
      <c r="H1358" t="s">
        <v>6097</v>
      </c>
      <c r="I1358">
        <v>26.67</v>
      </c>
    </row>
    <row r="1359" spans="1:9" ht="12.75">
      <c r="A1359">
        <v>1345</v>
      </c>
      <c r="B1359" t="s">
        <v>6098</v>
      </c>
      <c r="C1359" t="s">
        <v>3445</v>
      </c>
      <c r="D1359" t="s">
        <v>2780</v>
      </c>
      <c r="E1359" t="s">
        <v>2973</v>
      </c>
      <c r="F1359" t="str">
        <f>"84/147"</f>
        <v>84/147</v>
      </c>
      <c r="G1359" t="s">
        <v>1177</v>
      </c>
      <c r="H1359" t="s">
        <v>6099</v>
      </c>
      <c r="I1359">
        <v>26.66</v>
      </c>
    </row>
    <row r="1360" spans="1:9" ht="12.75">
      <c r="A1360">
        <v>1346</v>
      </c>
      <c r="B1360" t="s">
        <v>6100</v>
      </c>
      <c r="C1360" t="s">
        <v>3116</v>
      </c>
      <c r="D1360" t="s">
        <v>2780</v>
      </c>
      <c r="E1360" t="s">
        <v>2799</v>
      </c>
      <c r="F1360" t="str">
        <f>"79/100"</f>
        <v>79/100</v>
      </c>
      <c r="G1360" t="s">
        <v>6101</v>
      </c>
      <c r="H1360" t="s">
        <v>6102</v>
      </c>
      <c r="I1360">
        <v>26.66</v>
      </c>
    </row>
    <row r="1361" spans="1:9" ht="12.75">
      <c r="A1361">
        <v>1347</v>
      </c>
      <c r="B1361" t="s">
        <v>3105</v>
      </c>
      <c r="C1361" t="s">
        <v>2865</v>
      </c>
      <c r="D1361" t="s">
        <v>2780</v>
      </c>
      <c r="E1361" t="s">
        <v>2781</v>
      </c>
      <c r="F1361" t="str">
        <f>"288/354"</f>
        <v>288/354</v>
      </c>
      <c r="G1361" t="s">
        <v>843</v>
      </c>
      <c r="H1361" t="s">
        <v>6103</v>
      </c>
      <c r="I1361">
        <v>26.66</v>
      </c>
    </row>
    <row r="1362" spans="1:9" ht="12.75">
      <c r="A1362">
        <v>1348</v>
      </c>
      <c r="B1362" t="s">
        <v>6104</v>
      </c>
      <c r="C1362" t="s">
        <v>3116</v>
      </c>
      <c r="D1362" t="s">
        <v>2780</v>
      </c>
      <c r="E1362" t="s">
        <v>2781</v>
      </c>
      <c r="F1362" t="str">
        <f>"289/354"</f>
        <v>289/354</v>
      </c>
      <c r="G1362" t="s">
        <v>6101</v>
      </c>
      <c r="H1362" t="s">
        <v>6105</v>
      </c>
      <c r="I1362">
        <v>26.66</v>
      </c>
    </row>
    <row r="1363" spans="1:9" ht="12.75">
      <c r="A1363">
        <v>1349</v>
      </c>
      <c r="B1363" t="s">
        <v>6106</v>
      </c>
      <c r="C1363" t="s">
        <v>2963</v>
      </c>
      <c r="D1363" t="s">
        <v>2780</v>
      </c>
      <c r="E1363" t="s">
        <v>2781</v>
      </c>
      <c r="F1363" t="str">
        <f>"290/354"</f>
        <v>290/354</v>
      </c>
      <c r="G1363" t="s">
        <v>6101</v>
      </c>
      <c r="H1363" t="s">
        <v>6107</v>
      </c>
      <c r="I1363">
        <v>26.66</v>
      </c>
    </row>
    <row r="1364" spans="1:9" ht="12.75">
      <c r="A1364">
        <v>1350</v>
      </c>
      <c r="B1364" t="s">
        <v>6100</v>
      </c>
      <c r="C1364" t="s">
        <v>2814</v>
      </c>
      <c r="D1364" t="s">
        <v>2780</v>
      </c>
      <c r="E1364" t="s">
        <v>2786</v>
      </c>
      <c r="F1364" t="str">
        <f>"38/44"</f>
        <v>38/44</v>
      </c>
      <c r="G1364" t="s">
        <v>6101</v>
      </c>
      <c r="H1364" t="s">
        <v>6108</v>
      </c>
      <c r="I1364">
        <v>26.66</v>
      </c>
    </row>
    <row r="1365" spans="1:9" ht="12.75">
      <c r="A1365">
        <v>1351</v>
      </c>
      <c r="B1365" t="s">
        <v>6109</v>
      </c>
      <c r="C1365" t="s">
        <v>6110</v>
      </c>
      <c r="D1365" t="s">
        <v>2780</v>
      </c>
      <c r="E1365" t="s">
        <v>2781</v>
      </c>
      <c r="F1365" t="str">
        <f>"291/354"</f>
        <v>291/354</v>
      </c>
      <c r="G1365" t="s">
        <v>6101</v>
      </c>
      <c r="H1365" t="s">
        <v>6111</v>
      </c>
      <c r="I1365">
        <v>26.66</v>
      </c>
    </row>
    <row r="1366" spans="1:9" ht="12.75">
      <c r="A1366">
        <v>1352</v>
      </c>
      <c r="B1366" t="s">
        <v>6112</v>
      </c>
      <c r="C1366" t="s">
        <v>2857</v>
      </c>
      <c r="D1366" t="s">
        <v>2780</v>
      </c>
      <c r="E1366" t="s">
        <v>2799</v>
      </c>
      <c r="F1366" t="str">
        <f>"80/100"</f>
        <v>80/100</v>
      </c>
      <c r="G1366" t="s">
        <v>6101</v>
      </c>
      <c r="H1366" t="s">
        <v>6113</v>
      </c>
      <c r="I1366">
        <v>26.66</v>
      </c>
    </row>
    <row r="1367" spans="1:9" ht="12.75">
      <c r="A1367">
        <v>1353</v>
      </c>
      <c r="B1367" t="s">
        <v>6114</v>
      </c>
      <c r="C1367" t="s">
        <v>3116</v>
      </c>
      <c r="D1367" t="s">
        <v>2780</v>
      </c>
      <c r="E1367" t="s">
        <v>2781</v>
      </c>
      <c r="F1367" t="str">
        <f>"292/354"</f>
        <v>292/354</v>
      </c>
      <c r="G1367" t="s">
        <v>6115</v>
      </c>
      <c r="H1367" t="s">
        <v>6116</v>
      </c>
      <c r="I1367">
        <v>26.64</v>
      </c>
    </row>
    <row r="1368" spans="1:9" ht="12.75">
      <c r="A1368">
        <v>1354</v>
      </c>
      <c r="B1368" t="s">
        <v>6117</v>
      </c>
      <c r="C1368" t="s">
        <v>2865</v>
      </c>
      <c r="D1368" t="s">
        <v>2780</v>
      </c>
      <c r="E1368" t="s">
        <v>2823</v>
      </c>
      <c r="F1368" t="str">
        <f>"520/668"</f>
        <v>520/668</v>
      </c>
      <c r="G1368" t="s">
        <v>3468</v>
      </c>
      <c r="H1368" t="s">
        <v>6118</v>
      </c>
      <c r="I1368">
        <v>26.64</v>
      </c>
    </row>
    <row r="1369" spans="1:9" ht="12.75">
      <c r="A1369">
        <v>1355</v>
      </c>
      <c r="B1369" t="s">
        <v>6119</v>
      </c>
      <c r="C1369" t="s">
        <v>615</v>
      </c>
      <c r="D1369" t="s">
        <v>2780</v>
      </c>
      <c r="E1369" t="s">
        <v>2781</v>
      </c>
      <c r="F1369" t="str">
        <f>"293/354"</f>
        <v>293/354</v>
      </c>
      <c r="G1369" t="s">
        <v>59</v>
      </c>
      <c r="H1369" t="s">
        <v>6118</v>
      </c>
      <c r="I1369">
        <v>26.64</v>
      </c>
    </row>
    <row r="1370" spans="1:9" ht="12.75">
      <c r="A1370">
        <v>1356</v>
      </c>
      <c r="B1370" t="s">
        <v>6120</v>
      </c>
      <c r="C1370" t="s">
        <v>3438</v>
      </c>
      <c r="D1370" t="s">
        <v>2780</v>
      </c>
      <c r="E1370" t="s">
        <v>2823</v>
      </c>
      <c r="F1370" t="str">
        <f>"521/668"</f>
        <v>521/668</v>
      </c>
      <c r="G1370" t="s">
        <v>59</v>
      </c>
      <c r="H1370" t="s">
        <v>6121</v>
      </c>
      <c r="I1370">
        <v>26.63</v>
      </c>
    </row>
    <row r="1371" spans="1:9" ht="12.75">
      <c r="A1371">
        <v>1357</v>
      </c>
      <c r="B1371" t="s">
        <v>6122</v>
      </c>
      <c r="C1371" t="s">
        <v>2865</v>
      </c>
      <c r="D1371" t="s">
        <v>2780</v>
      </c>
      <c r="E1371" t="s">
        <v>2973</v>
      </c>
      <c r="F1371" t="str">
        <f>"85/147"</f>
        <v>85/147</v>
      </c>
      <c r="G1371" t="s">
        <v>5062</v>
      </c>
      <c r="H1371" t="s">
        <v>6123</v>
      </c>
      <c r="I1371">
        <v>26.63</v>
      </c>
    </row>
    <row r="1372" spans="1:9" ht="12.75">
      <c r="A1372">
        <v>1358</v>
      </c>
      <c r="B1372" t="s">
        <v>6124</v>
      </c>
      <c r="C1372" t="s">
        <v>6125</v>
      </c>
      <c r="D1372" t="s">
        <v>3031</v>
      </c>
      <c r="E1372" t="s">
        <v>3244</v>
      </c>
      <c r="F1372" t="str">
        <f>"27/40"</f>
        <v>27/40</v>
      </c>
      <c r="G1372" t="s">
        <v>5065</v>
      </c>
      <c r="H1372" t="s">
        <v>6126</v>
      </c>
      <c r="I1372">
        <v>26.62</v>
      </c>
    </row>
    <row r="1373" spans="1:9" ht="12.75">
      <c r="A1373">
        <v>1359</v>
      </c>
      <c r="B1373" t="s">
        <v>493</v>
      </c>
      <c r="C1373" t="s">
        <v>6127</v>
      </c>
      <c r="D1373" t="s">
        <v>2780</v>
      </c>
      <c r="E1373" t="s">
        <v>2973</v>
      </c>
      <c r="F1373" t="str">
        <f>"86/147"</f>
        <v>86/147</v>
      </c>
      <c r="G1373" t="s">
        <v>6128</v>
      </c>
      <c r="H1373" t="s">
        <v>6129</v>
      </c>
      <c r="I1373">
        <v>26.62</v>
      </c>
    </row>
    <row r="1374" spans="1:9" ht="12.75">
      <c r="A1374">
        <v>1360</v>
      </c>
      <c r="B1374" t="s">
        <v>3090</v>
      </c>
      <c r="C1374" t="s">
        <v>2836</v>
      </c>
      <c r="D1374" t="s">
        <v>2780</v>
      </c>
      <c r="E1374" t="s">
        <v>2781</v>
      </c>
      <c r="F1374" t="str">
        <f>"294/354"</f>
        <v>294/354</v>
      </c>
      <c r="G1374" t="s">
        <v>2889</v>
      </c>
      <c r="H1374" t="s">
        <v>6130</v>
      </c>
      <c r="I1374">
        <v>26.62</v>
      </c>
    </row>
    <row r="1375" spans="1:9" ht="12.75">
      <c r="A1375">
        <v>1361</v>
      </c>
      <c r="B1375" t="s">
        <v>6131</v>
      </c>
      <c r="C1375" t="s">
        <v>3464</v>
      </c>
      <c r="D1375" t="s">
        <v>2780</v>
      </c>
      <c r="E1375" t="s">
        <v>2823</v>
      </c>
      <c r="F1375" t="str">
        <f>"522/668"</f>
        <v>522/668</v>
      </c>
      <c r="G1375" t="s">
        <v>985</v>
      </c>
      <c r="H1375" t="s">
        <v>6132</v>
      </c>
      <c r="I1375">
        <v>26.61</v>
      </c>
    </row>
    <row r="1376" spans="1:9" ht="12.75">
      <c r="A1376">
        <v>1362</v>
      </c>
      <c r="B1376" t="s">
        <v>2789</v>
      </c>
      <c r="C1376" t="s">
        <v>2942</v>
      </c>
      <c r="D1376" t="s">
        <v>2780</v>
      </c>
      <c r="E1376" t="s">
        <v>2818</v>
      </c>
      <c r="F1376" t="str">
        <f>"267/380"</f>
        <v>267/380</v>
      </c>
      <c r="G1376" t="s">
        <v>985</v>
      </c>
      <c r="H1376" t="s">
        <v>6133</v>
      </c>
      <c r="I1376">
        <v>26.6</v>
      </c>
    </row>
    <row r="1377" spans="1:9" ht="12.75">
      <c r="A1377">
        <v>1363</v>
      </c>
      <c r="B1377" t="s">
        <v>6134</v>
      </c>
      <c r="C1377" t="s">
        <v>6135</v>
      </c>
      <c r="D1377" t="s">
        <v>2780</v>
      </c>
      <c r="E1377" t="s">
        <v>2818</v>
      </c>
      <c r="F1377" t="str">
        <f>"268/380"</f>
        <v>268/380</v>
      </c>
      <c r="G1377" t="s">
        <v>985</v>
      </c>
      <c r="H1377" t="s">
        <v>6136</v>
      </c>
      <c r="I1377">
        <v>26.6</v>
      </c>
    </row>
    <row r="1378" spans="1:9" ht="12.75">
      <c r="A1378">
        <v>1364</v>
      </c>
      <c r="B1378" t="s">
        <v>6137</v>
      </c>
      <c r="C1378" t="s">
        <v>2839</v>
      </c>
      <c r="D1378" t="s">
        <v>2780</v>
      </c>
      <c r="E1378" t="s">
        <v>2818</v>
      </c>
      <c r="F1378" t="str">
        <f>"269/380"</f>
        <v>269/380</v>
      </c>
      <c r="G1378" t="s">
        <v>2252</v>
      </c>
      <c r="H1378" t="s">
        <v>6138</v>
      </c>
      <c r="I1378">
        <v>26.6</v>
      </c>
    </row>
    <row r="1379" spans="1:9" ht="12.75">
      <c r="A1379">
        <v>1365</v>
      </c>
      <c r="B1379" t="s">
        <v>6139</v>
      </c>
      <c r="C1379" t="s">
        <v>3542</v>
      </c>
      <c r="D1379" t="s">
        <v>2780</v>
      </c>
      <c r="E1379" t="s">
        <v>2823</v>
      </c>
      <c r="F1379" t="str">
        <f>"523/668"</f>
        <v>523/668</v>
      </c>
      <c r="G1379" t="s">
        <v>6140</v>
      </c>
      <c r="H1379" t="s">
        <v>6141</v>
      </c>
      <c r="I1379">
        <v>26.6</v>
      </c>
    </row>
    <row r="1380" spans="1:9" ht="12.75">
      <c r="A1380">
        <v>1366</v>
      </c>
      <c r="B1380" t="s">
        <v>6142</v>
      </c>
      <c r="C1380" t="s">
        <v>2779</v>
      </c>
      <c r="D1380" t="s">
        <v>2780</v>
      </c>
      <c r="E1380" t="s">
        <v>2781</v>
      </c>
      <c r="F1380" t="str">
        <f>"295/354"</f>
        <v>295/354</v>
      </c>
      <c r="G1380" t="s">
        <v>985</v>
      </c>
      <c r="H1380" t="s">
        <v>6143</v>
      </c>
      <c r="I1380">
        <v>26.6</v>
      </c>
    </row>
    <row r="1381" spans="1:9" ht="12.75">
      <c r="A1381">
        <v>1367</v>
      </c>
      <c r="B1381" t="s">
        <v>2286</v>
      </c>
      <c r="C1381" t="s">
        <v>6144</v>
      </c>
      <c r="D1381" t="s">
        <v>2780</v>
      </c>
      <c r="E1381" t="s">
        <v>2973</v>
      </c>
      <c r="F1381" t="str">
        <f>"87/147"</f>
        <v>87/147</v>
      </c>
      <c r="G1381" t="s">
        <v>3261</v>
      </c>
      <c r="H1381" t="s">
        <v>6145</v>
      </c>
      <c r="I1381">
        <v>26.59</v>
      </c>
    </row>
    <row r="1382" spans="1:9" ht="12.75">
      <c r="A1382">
        <v>1368</v>
      </c>
      <c r="B1382" t="s">
        <v>6146</v>
      </c>
      <c r="C1382" t="s">
        <v>700</v>
      </c>
      <c r="D1382" t="s">
        <v>2780</v>
      </c>
      <c r="E1382" t="s">
        <v>2818</v>
      </c>
      <c r="F1382" t="str">
        <f>"270/380"</f>
        <v>270/380</v>
      </c>
      <c r="G1382" t="s">
        <v>2546</v>
      </c>
      <c r="H1382" t="s">
        <v>6145</v>
      </c>
      <c r="I1382">
        <v>26.59</v>
      </c>
    </row>
    <row r="1383" spans="1:9" ht="12.75">
      <c r="A1383">
        <v>1369</v>
      </c>
      <c r="B1383" t="s">
        <v>6147</v>
      </c>
      <c r="C1383" t="s">
        <v>3141</v>
      </c>
      <c r="D1383" t="s">
        <v>2780</v>
      </c>
      <c r="E1383" t="s">
        <v>2786</v>
      </c>
      <c r="F1383" t="str">
        <f>"39/44"</f>
        <v>39/44</v>
      </c>
      <c r="G1383" t="s">
        <v>2607</v>
      </c>
      <c r="H1383" t="s">
        <v>6148</v>
      </c>
      <c r="I1383">
        <v>26.59</v>
      </c>
    </row>
    <row r="1384" spans="1:9" ht="12.75">
      <c r="A1384">
        <v>1370</v>
      </c>
      <c r="B1384" t="s">
        <v>6149</v>
      </c>
      <c r="C1384" t="s">
        <v>3147</v>
      </c>
      <c r="D1384" t="s">
        <v>2780</v>
      </c>
      <c r="E1384" t="s">
        <v>2818</v>
      </c>
      <c r="F1384" t="str">
        <f>"271/380"</f>
        <v>271/380</v>
      </c>
      <c r="G1384" t="s">
        <v>3277</v>
      </c>
      <c r="H1384" t="s">
        <v>6150</v>
      </c>
      <c r="I1384">
        <v>26.59</v>
      </c>
    </row>
    <row r="1385" spans="1:9" ht="12.75">
      <c r="A1385">
        <v>1371</v>
      </c>
      <c r="B1385" t="s">
        <v>4094</v>
      </c>
      <c r="C1385" t="s">
        <v>6151</v>
      </c>
      <c r="D1385" t="s">
        <v>2780</v>
      </c>
      <c r="E1385" t="s">
        <v>2823</v>
      </c>
      <c r="F1385" t="str">
        <f>"524/668"</f>
        <v>524/668</v>
      </c>
      <c r="G1385" t="s">
        <v>6152</v>
      </c>
      <c r="H1385" t="s">
        <v>6153</v>
      </c>
      <c r="I1385">
        <v>26.58</v>
      </c>
    </row>
    <row r="1386" spans="1:9" ht="12.75">
      <c r="A1386">
        <v>1372</v>
      </c>
      <c r="B1386" t="s">
        <v>6154</v>
      </c>
      <c r="C1386" t="s">
        <v>5136</v>
      </c>
      <c r="D1386" t="s">
        <v>2780</v>
      </c>
      <c r="E1386" t="s">
        <v>2818</v>
      </c>
      <c r="F1386" t="str">
        <f>"272/380"</f>
        <v>272/380</v>
      </c>
      <c r="G1386" t="s">
        <v>5241</v>
      </c>
      <c r="H1386" t="s">
        <v>6155</v>
      </c>
      <c r="I1386">
        <v>26.58</v>
      </c>
    </row>
    <row r="1387" spans="1:9" ht="12.75">
      <c r="A1387">
        <v>1373</v>
      </c>
      <c r="B1387" t="s">
        <v>6156</v>
      </c>
      <c r="C1387" t="s">
        <v>3066</v>
      </c>
      <c r="D1387" t="s">
        <v>2780</v>
      </c>
      <c r="E1387" t="s">
        <v>2799</v>
      </c>
      <c r="F1387" t="str">
        <f>"81/100"</f>
        <v>81/100</v>
      </c>
      <c r="G1387" t="s">
        <v>3543</v>
      </c>
      <c r="H1387" t="s">
        <v>6157</v>
      </c>
      <c r="I1387">
        <v>26.57</v>
      </c>
    </row>
    <row r="1388" spans="1:9" ht="12.75">
      <c r="A1388">
        <v>1374</v>
      </c>
      <c r="B1388" t="s">
        <v>3622</v>
      </c>
      <c r="C1388" t="s">
        <v>6158</v>
      </c>
      <c r="D1388" t="s">
        <v>2780</v>
      </c>
      <c r="E1388" t="s">
        <v>2823</v>
      </c>
      <c r="F1388" t="str">
        <f>"525/668"</f>
        <v>525/668</v>
      </c>
      <c r="G1388" t="s">
        <v>3516</v>
      </c>
      <c r="H1388" t="s">
        <v>6159</v>
      </c>
      <c r="I1388">
        <v>26.55</v>
      </c>
    </row>
    <row r="1389" spans="1:9" ht="12.75">
      <c r="A1389">
        <v>1375</v>
      </c>
      <c r="B1389" t="s">
        <v>6160</v>
      </c>
      <c r="C1389" t="s">
        <v>6161</v>
      </c>
      <c r="D1389" t="s">
        <v>2780</v>
      </c>
      <c r="E1389" t="s">
        <v>2973</v>
      </c>
      <c r="F1389" t="str">
        <f>"88/147"</f>
        <v>88/147</v>
      </c>
      <c r="G1389" t="s">
        <v>3465</v>
      </c>
      <c r="H1389" t="s">
        <v>6162</v>
      </c>
      <c r="I1389">
        <v>26.53</v>
      </c>
    </row>
    <row r="1390" spans="1:9" ht="12.75">
      <c r="A1390">
        <v>1376</v>
      </c>
      <c r="B1390" t="s">
        <v>6163</v>
      </c>
      <c r="C1390" t="s">
        <v>2814</v>
      </c>
      <c r="D1390" t="s">
        <v>2780</v>
      </c>
      <c r="E1390" t="s">
        <v>2799</v>
      </c>
      <c r="F1390" t="str">
        <f>"82/100"</f>
        <v>82/100</v>
      </c>
      <c r="G1390" t="s">
        <v>6164</v>
      </c>
      <c r="H1390" t="s">
        <v>6165</v>
      </c>
      <c r="I1390">
        <v>26.53</v>
      </c>
    </row>
    <row r="1391" spans="1:9" ht="12.75">
      <c r="A1391">
        <v>1377</v>
      </c>
      <c r="B1391" t="s">
        <v>6166</v>
      </c>
      <c r="C1391" t="s">
        <v>256</v>
      </c>
      <c r="D1391" t="s">
        <v>2780</v>
      </c>
      <c r="E1391" t="s">
        <v>2823</v>
      </c>
      <c r="F1391" t="str">
        <f>"526/668"</f>
        <v>526/668</v>
      </c>
      <c r="G1391" t="s">
        <v>3363</v>
      </c>
      <c r="H1391" t="s">
        <v>6167</v>
      </c>
      <c r="I1391">
        <v>26.52</v>
      </c>
    </row>
    <row r="1392" spans="1:9" ht="12.75">
      <c r="A1392">
        <v>1378</v>
      </c>
      <c r="B1392" t="s">
        <v>6168</v>
      </c>
      <c r="C1392" t="s">
        <v>6169</v>
      </c>
      <c r="D1392" t="s">
        <v>3031</v>
      </c>
      <c r="E1392" t="s">
        <v>3244</v>
      </c>
      <c r="F1392" t="str">
        <f>"28/40"</f>
        <v>28/40</v>
      </c>
      <c r="G1392" t="s">
        <v>59</v>
      </c>
      <c r="H1392" t="s">
        <v>6170</v>
      </c>
      <c r="I1392">
        <v>26.51</v>
      </c>
    </row>
    <row r="1393" spans="1:9" ht="12.75">
      <c r="A1393">
        <v>1379</v>
      </c>
      <c r="B1393" t="s">
        <v>1914</v>
      </c>
      <c r="C1393" t="s">
        <v>6171</v>
      </c>
      <c r="D1393" t="s">
        <v>2780</v>
      </c>
      <c r="E1393" t="s">
        <v>2973</v>
      </c>
      <c r="F1393" t="str">
        <f>"89/147"</f>
        <v>89/147</v>
      </c>
      <c r="G1393" t="s">
        <v>6172</v>
      </c>
      <c r="H1393" t="s">
        <v>6173</v>
      </c>
      <c r="I1393">
        <v>26.51</v>
      </c>
    </row>
    <row r="1394" spans="1:9" ht="12.75">
      <c r="A1394">
        <v>1380</v>
      </c>
      <c r="B1394" t="s">
        <v>3378</v>
      </c>
      <c r="C1394" t="s">
        <v>2836</v>
      </c>
      <c r="D1394" t="s">
        <v>2780</v>
      </c>
      <c r="E1394" t="s">
        <v>2823</v>
      </c>
      <c r="F1394" t="str">
        <f>"527/668"</f>
        <v>527/668</v>
      </c>
      <c r="G1394" t="s">
        <v>5762</v>
      </c>
      <c r="H1394" t="s">
        <v>6174</v>
      </c>
      <c r="I1394">
        <v>26.51</v>
      </c>
    </row>
    <row r="1395" spans="1:9" ht="12.75">
      <c r="A1395">
        <v>1381</v>
      </c>
      <c r="B1395" t="s">
        <v>6175</v>
      </c>
      <c r="C1395" t="s">
        <v>2779</v>
      </c>
      <c r="D1395" t="s">
        <v>2780</v>
      </c>
      <c r="E1395" t="s">
        <v>2781</v>
      </c>
      <c r="F1395" t="str">
        <f>"296/354"</f>
        <v>296/354</v>
      </c>
      <c r="G1395" t="s">
        <v>6176</v>
      </c>
      <c r="H1395" t="s">
        <v>6177</v>
      </c>
      <c r="I1395">
        <v>26.51</v>
      </c>
    </row>
    <row r="1396" spans="1:9" ht="12.75">
      <c r="A1396">
        <v>1382</v>
      </c>
      <c r="B1396" t="s">
        <v>6178</v>
      </c>
      <c r="C1396" t="s">
        <v>3633</v>
      </c>
      <c r="D1396" t="s">
        <v>2780</v>
      </c>
      <c r="E1396" t="s">
        <v>2823</v>
      </c>
      <c r="F1396" t="str">
        <f>"528/668"</f>
        <v>528/668</v>
      </c>
      <c r="G1396" t="s">
        <v>168</v>
      </c>
      <c r="H1396" t="s">
        <v>6179</v>
      </c>
      <c r="I1396">
        <v>26.51</v>
      </c>
    </row>
    <row r="1397" spans="1:9" ht="12.75">
      <c r="A1397">
        <v>1383</v>
      </c>
      <c r="B1397" t="s">
        <v>6180</v>
      </c>
      <c r="C1397" t="s">
        <v>539</v>
      </c>
      <c r="D1397" t="s">
        <v>2780</v>
      </c>
      <c r="E1397" t="s">
        <v>2781</v>
      </c>
      <c r="F1397" t="str">
        <f>"297/354"</f>
        <v>297/354</v>
      </c>
      <c r="G1397" t="s">
        <v>3060</v>
      </c>
      <c r="H1397" t="s">
        <v>6181</v>
      </c>
      <c r="I1397">
        <v>26.51</v>
      </c>
    </row>
    <row r="1398" spans="1:9" ht="12.75">
      <c r="A1398">
        <v>1384</v>
      </c>
      <c r="B1398" t="s">
        <v>6182</v>
      </c>
      <c r="C1398" t="s">
        <v>3286</v>
      </c>
      <c r="D1398" t="s">
        <v>2780</v>
      </c>
      <c r="E1398" t="s">
        <v>2823</v>
      </c>
      <c r="F1398" t="str">
        <f>"529/668"</f>
        <v>529/668</v>
      </c>
      <c r="G1398" t="s">
        <v>168</v>
      </c>
      <c r="H1398" t="s">
        <v>6183</v>
      </c>
      <c r="I1398">
        <v>26.5</v>
      </c>
    </row>
    <row r="1399" spans="1:9" ht="12.75">
      <c r="A1399">
        <v>1385</v>
      </c>
      <c r="B1399" t="s">
        <v>233</v>
      </c>
      <c r="C1399" t="s">
        <v>6184</v>
      </c>
      <c r="D1399" t="s">
        <v>2780</v>
      </c>
      <c r="E1399" t="s">
        <v>2799</v>
      </c>
      <c r="F1399" t="str">
        <f>"83/100"</f>
        <v>83/100</v>
      </c>
      <c r="G1399" t="s">
        <v>3095</v>
      </c>
      <c r="H1399" t="s">
        <v>6185</v>
      </c>
      <c r="I1399">
        <v>26.48</v>
      </c>
    </row>
    <row r="1400" spans="1:9" ht="12.75">
      <c r="A1400">
        <v>1386</v>
      </c>
      <c r="B1400" t="s">
        <v>6186</v>
      </c>
      <c r="C1400" t="s">
        <v>3464</v>
      </c>
      <c r="D1400" t="s">
        <v>2780</v>
      </c>
      <c r="E1400" t="s">
        <v>2818</v>
      </c>
      <c r="F1400" t="str">
        <f>"273/380"</f>
        <v>273/380</v>
      </c>
      <c r="G1400" t="s">
        <v>6187</v>
      </c>
      <c r="H1400" t="s">
        <v>6188</v>
      </c>
      <c r="I1400">
        <v>26.48</v>
      </c>
    </row>
    <row r="1401" spans="1:9" ht="12.75">
      <c r="A1401">
        <v>1387</v>
      </c>
      <c r="B1401" t="s">
        <v>6189</v>
      </c>
      <c r="C1401" t="s">
        <v>2779</v>
      </c>
      <c r="D1401" t="s">
        <v>2780</v>
      </c>
      <c r="E1401" t="s">
        <v>2781</v>
      </c>
      <c r="F1401" t="str">
        <f>"298/354"</f>
        <v>298/354</v>
      </c>
      <c r="G1401" t="s">
        <v>4496</v>
      </c>
      <c r="H1401" t="s">
        <v>6190</v>
      </c>
      <c r="I1401">
        <v>26.48</v>
      </c>
    </row>
    <row r="1402" spans="1:9" ht="12.75">
      <c r="A1402">
        <v>1388</v>
      </c>
      <c r="B1402" t="s">
        <v>6191</v>
      </c>
      <c r="C1402" t="s">
        <v>2966</v>
      </c>
      <c r="D1402" t="s">
        <v>2780</v>
      </c>
      <c r="E1402" t="s">
        <v>2823</v>
      </c>
      <c r="F1402" t="str">
        <f>"530/668"</f>
        <v>530/668</v>
      </c>
      <c r="G1402" t="s">
        <v>5389</v>
      </c>
      <c r="H1402" t="s">
        <v>6192</v>
      </c>
      <c r="I1402">
        <v>26.48</v>
      </c>
    </row>
    <row r="1403" spans="1:9" ht="12.75">
      <c r="A1403">
        <v>1389</v>
      </c>
      <c r="B1403" t="s">
        <v>3174</v>
      </c>
      <c r="C1403" t="s">
        <v>6193</v>
      </c>
      <c r="D1403" t="s">
        <v>2780</v>
      </c>
      <c r="E1403" t="s">
        <v>2823</v>
      </c>
      <c r="F1403" t="str">
        <f>"531/668"</f>
        <v>531/668</v>
      </c>
      <c r="G1403" t="s">
        <v>7795</v>
      </c>
      <c r="H1403" t="s">
        <v>6194</v>
      </c>
      <c r="I1403">
        <v>26.48</v>
      </c>
    </row>
    <row r="1404" spans="1:9" ht="12.75">
      <c r="A1404">
        <v>1390</v>
      </c>
      <c r="B1404" t="s">
        <v>6195</v>
      </c>
      <c r="C1404" t="s">
        <v>3346</v>
      </c>
      <c r="D1404" t="s">
        <v>2780</v>
      </c>
      <c r="E1404" t="s">
        <v>2823</v>
      </c>
      <c r="F1404" t="str">
        <f>"532/668"</f>
        <v>532/668</v>
      </c>
      <c r="G1404" t="s">
        <v>4496</v>
      </c>
      <c r="H1404" t="s">
        <v>6196</v>
      </c>
      <c r="I1404">
        <v>26.47</v>
      </c>
    </row>
    <row r="1405" spans="1:9" ht="12.75">
      <c r="A1405">
        <v>1391</v>
      </c>
      <c r="B1405" t="s">
        <v>6197</v>
      </c>
      <c r="C1405" t="s">
        <v>3542</v>
      </c>
      <c r="D1405" t="s">
        <v>2780</v>
      </c>
      <c r="E1405" t="s">
        <v>2823</v>
      </c>
      <c r="F1405" t="str">
        <f>"533/668"</f>
        <v>533/668</v>
      </c>
      <c r="G1405" t="s">
        <v>2498</v>
      </c>
      <c r="H1405" t="s">
        <v>6198</v>
      </c>
      <c r="I1405">
        <v>26.47</v>
      </c>
    </row>
    <row r="1406" spans="1:9" ht="12.75">
      <c r="A1406">
        <v>1392</v>
      </c>
      <c r="B1406" t="s">
        <v>6199</v>
      </c>
      <c r="C1406" t="s">
        <v>265</v>
      </c>
      <c r="D1406" t="s">
        <v>2780</v>
      </c>
      <c r="E1406" t="s">
        <v>2818</v>
      </c>
      <c r="F1406" t="str">
        <f>"274/380"</f>
        <v>274/380</v>
      </c>
      <c r="G1406" t="s">
        <v>1723</v>
      </c>
      <c r="H1406" t="s">
        <v>6200</v>
      </c>
      <c r="I1406">
        <v>26.46</v>
      </c>
    </row>
    <row r="1407" spans="1:9" ht="12.75">
      <c r="A1407">
        <v>1393</v>
      </c>
      <c r="B1407" t="s">
        <v>1956</v>
      </c>
      <c r="C1407" t="s">
        <v>39</v>
      </c>
      <c r="D1407" t="s">
        <v>2780</v>
      </c>
      <c r="E1407" t="s">
        <v>2823</v>
      </c>
      <c r="F1407" t="str">
        <f>"534/668"</f>
        <v>534/668</v>
      </c>
      <c r="G1407" t="s">
        <v>5990</v>
      </c>
      <c r="H1407" t="s">
        <v>6201</v>
      </c>
      <c r="I1407">
        <v>26.44</v>
      </c>
    </row>
    <row r="1408" spans="1:9" ht="12.75">
      <c r="A1408">
        <v>1394</v>
      </c>
      <c r="B1408" t="s">
        <v>6202</v>
      </c>
      <c r="C1408" t="s">
        <v>2865</v>
      </c>
      <c r="D1408" t="s">
        <v>2780</v>
      </c>
      <c r="E1408" t="s">
        <v>2781</v>
      </c>
      <c r="F1408" t="str">
        <f>"299/354"</f>
        <v>299/354</v>
      </c>
      <c r="G1408" t="s">
        <v>5990</v>
      </c>
      <c r="H1408" t="s">
        <v>6203</v>
      </c>
      <c r="I1408">
        <v>26.44</v>
      </c>
    </row>
    <row r="1409" spans="1:9" ht="12.75">
      <c r="A1409">
        <v>1395</v>
      </c>
      <c r="B1409" t="s">
        <v>6204</v>
      </c>
      <c r="C1409" t="s">
        <v>2942</v>
      </c>
      <c r="D1409" t="s">
        <v>2780</v>
      </c>
      <c r="E1409" t="s">
        <v>2818</v>
      </c>
      <c r="F1409" t="str">
        <f>"275/380"</f>
        <v>275/380</v>
      </c>
      <c r="G1409" t="s">
        <v>3543</v>
      </c>
      <c r="H1409" t="s">
        <v>6205</v>
      </c>
      <c r="I1409">
        <v>26.42</v>
      </c>
    </row>
    <row r="1410" spans="1:9" ht="12.75">
      <c r="A1410">
        <v>1396</v>
      </c>
      <c r="B1410" t="s">
        <v>6206</v>
      </c>
      <c r="C1410" t="s">
        <v>3164</v>
      </c>
      <c r="D1410" t="s">
        <v>2780</v>
      </c>
      <c r="E1410" t="s">
        <v>2823</v>
      </c>
      <c r="F1410" t="str">
        <f>"535/668"</f>
        <v>535/668</v>
      </c>
      <c r="G1410" t="s">
        <v>1780</v>
      </c>
      <c r="H1410" t="s">
        <v>6207</v>
      </c>
      <c r="I1410">
        <v>26.41</v>
      </c>
    </row>
    <row r="1411" spans="1:9" ht="12.75">
      <c r="A1411">
        <v>1397</v>
      </c>
      <c r="B1411" t="s">
        <v>6208</v>
      </c>
      <c r="C1411" t="s">
        <v>615</v>
      </c>
      <c r="D1411" t="s">
        <v>2780</v>
      </c>
      <c r="E1411" t="s">
        <v>2818</v>
      </c>
      <c r="F1411" t="str">
        <f>"276/380"</f>
        <v>276/380</v>
      </c>
      <c r="G1411" t="s">
        <v>6187</v>
      </c>
      <c r="H1411" t="s">
        <v>6209</v>
      </c>
      <c r="I1411">
        <v>26.41</v>
      </c>
    </row>
    <row r="1412" spans="1:9" ht="12.75">
      <c r="A1412">
        <v>1398</v>
      </c>
      <c r="B1412" t="s">
        <v>4857</v>
      </c>
      <c r="C1412" t="s">
        <v>3123</v>
      </c>
      <c r="D1412" t="s">
        <v>2780</v>
      </c>
      <c r="E1412" t="s">
        <v>2781</v>
      </c>
      <c r="F1412" t="str">
        <f>"300/354"</f>
        <v>300/354</v>
      </c>
      <c r="G1412" t="s">
        <v>2804</v>
      </c>
      <c r="H1412" t="s">
        <v>6210</v>
      </c>
      <c r="I1412">
        <v>26.4</v>
      </c>
    </row>
    <row r="1413" spans="1:9" ht="12.75">
      <c r="A1413">
        <v>1399</v>
      </c>
      <c r="B1413" t="s">
        <v>6211</v>
      </c>
      <c r="C1413" t="s">
        <v>3576</v>
      </c>
      <c r="D1413" t="s">
        <v>2780</v>
      </c>
      <c r="E1413" t="s">
        <v>2973</v>
      </c>
      <c r="F1413" t="str">
        <f>"90/147"</f>
        <v>90/147</v>
      </c>
      <c r="G1413" t="s">
        <v>3134</v>
      </c>
      <c r="H1413" t="s">
        <v>6212</v>
      </c>
      <c r="I1413">
        <v>26.39</v>
      </c>
    </row>
    <row r="1414" spans="1:9" ht="12.75">
      <c r="A1414">
        <v>1400</v>
      </c>
      <c r="B1414" t="s">
        <v>6213</v>
      </c>
      <c r="C1414" t="s">
        <v>3087</v>
      </c>
      <c r="D1414" t="s">
        <v>2780</v>
      </c>
      <c r="E1414" t="s">
        <v>2973</v>
      </c>
      <c r="F1414" t="str">
        <f>"91/147"</f>
        <v>91/147</v>
      </c>
      <c r="G1414" t="s">
        <v>2306</v>
      </c>
      <c r="H1414" t="s">
        <v>6214</v>
      </c>
      <c r="I1414">
        <v>26.38</v>
      </c>
    </row>
    <row r="1415" spans="1:9" ht="12.75">
      <c r="A1415">
        <v>1401</v>
      </c>
      <c r="B1415" t="s">
        <v>1914</v>
      </c>
      <c r="C1415" t="s">
        <v>3464</v>
      </c>
      <c r="D1415" t="s">
        <v>2780</v>
      </c>
      <c r="E1415" t="s">
        <v>2818</v>
      </c>
      <c r="F1415" t="str">
        <f>"277/380"</f>
        <v>277/380</v>
      </c>
      <c r="G1415" t="s">
        <v>2306</v>
      </c>
      <c r="H1415" t="s">
        <v>6215</v>
      </c>
      <c r="I1415">
        <v>26.38</v>
      </c>
    </row>
    <row r="1416" spans="1:9" ht="12.75">
      <c r="A1416">
        <v>1402</v>
      </c>
      <c r="B1416" t="s">
        <v>6216</v>
      </c>
      <c r="C1416" t="s">
        <v>2350</v>
      </c>
      <c r="D1416" t="s">
        <v>2780</v>
      </c>
      <c r="E1416" t="s">
        <v>2818</v>
      </c>
      <c r="F1416" t="str">
        <f>"278/380"</f>
        <v>278/380</v>
      </c>
      <c r="G1416" t="s">
        <v>2306</v>
      </c>
      <c r="H1416" t="s">
        <v>6217</v>
      </c>
      <c r="I1416">
        <v>26.36</v>
      </c>
    </row>
    <row r="1417" spans="1:9" ht="12.75">
      <c r="A1417">
        <v>1403</v>
      </c>
      <c r="B1417" t="s">
        <v>6218</v>
      </c>
      <c r="C1417" t="s">
        <v>3464</v>
      </c>
      <c r="D1417" t="s">
        <v>2780</v>
      </c>
      <c r="E1417" t="s">
        <v>2823</v>
      </c>
      <c r="F1417" t="str">
        <f>"536/668"</f>
        <v>536/668</v>
      </c>
      <c r="G1417" t="s">
        <v>6219</v>
      </c>
      <c r="H1417" t="s">
        <v>6220</v>
      </c>
      <c r="I1417">
        <v>26.35</v>
      </c>
    </row>
    <row r="1418" spans="1:9" ht="12.75">
      <c r="A1418">
        <v>1404</v>
      </c>
      <c r="B1418" t="s">
        <v>2097</v>
      </c>
      <c r="C1418" t="s">
        <v>2836</v>
      </c>
      <c r="D1418" t="s">
        <v>2780</v>
      </c>
      <c r="E1418" t="s">
        <v>2823</v>
      </c>
      <c r="F1418" t="str">
        <f>"537/668"</f>
        <v>537/668</v>
      </c>
      <c r="G1418" t="s">
        <v>5214</v>
      </c>
      <c r="H1418" t="s">
        <v>6221</v>
      </c>
      <c r="I1418">
        <v>26.35</v>
      </c>
    </row>
    <row r="1419" spans="1:9" ht="12.75">
      <c r="A1419">
        <v>1405</v>
      </c>
      <c r="B1419" t="s">
        <v>6222</v>
      </c>
      <c r="C1419" t="s">
        <v>7540</v>
      </c>
      <c r="D1419" t="s">
        <v>2780</v>
      </c>
      <c r="E1419" t="s">
        <v>3209</v>
      </c>
      <c r="F1419" t="str">
        <f>"11/13"</f>
        <v>11/13</v>
      </c>
      <c r="G1419" t="s">
        <v>7104</v>
      </c>
      <c r="H1419" t="s">
        <v>6223</v>
      </c>
      <c r="I1419">
        <v>26.35</v>
      </c>
    </row>
    <row r="1420" spans="1:9" ht="12.75">
      <c r="A1420">
        <v>1406</v>
      </c>
      <c r="B1420" t="s">
        <v>6224</v>
      </c>
      <c r="C1420" t="s">
        <v>3421</v>
      </c>
      <c r="D1420" t="s">
        <v>2780</v>
      </c>
      <c r="E1420" t="s">
        <v>2818</v>
      </c>
      <c r="F1420" t="str">
        <f>"279/380"</f>
        <v>279/380</v>
      </c>
      <c r="G1420" t="s">
        <v>6225</v>
      </c>
      <c r="H1420" t="s">
        <v>6226</v>
      </c>
      <c r="I1420">
        <v>26.34</v>
      </c>
    </row>
    <row r="1421" spans="1:9" ht="12.75">
      <c r="A1421">
        <v>1407</v>
      </c>
      <c r="B1421" t="s">
        <v>6227</v>
      </c>
      <c r="C1421" t="s">
        <v>2865</v>
      </c>
      <c r="D1421" t="s">
        <v>2780</v>
      </c>
      <c r="E1421" t="s">
        <v>2781</v>
      </c>
      <c r="F1421" t="str">
        <f>"301/354"</f>
        <v>301/354</v>
      </c>
      <c r="G1421" t="s">
        <v>4369</v>
      </c>
      <c r="H1421" t="s">
        <v>6228</v>
      </c>
      <c r="I1421">
        <v>26.34</v>
      </c>
    </row>
    <row r="1422" spans="1:9" ht="12.75">
      <c r="A1422">
        <v>1408</v>
      </c>
      <c r="B1422" t="s">
        <v>6229</v>
      </c>
      <c r="C1422" t="s">
        <v>2956</v>
      </c>
      <c r="D1422" t="s">
        <v>2780</v>
      </c>
      <c r="E1422" t="s">
        <v>2823</v>
      </c>
      <c r="F1422" t="str">
        <f>"538/668"</f>
        <v>538/668</v>
      </c>
      <c r="G1422" t="s">
        <v>3217</v>
      </c>
      <c r="H1422" t="s">
        <v>6230</v>
      </c>
      <c r="I1422">
        <v>26.34</v>
      </c>
    </row>
    <row r="1423" spans="1:9" ht="12.75">
      <c r="A1423">
        <v>1409</v>
      </c>
      <c r="B1423" t="s">
        <v>6231</v>
      </c>
      <c r="C1423" t="s">
        <v>6232</v>
      </c>
      <c r="D1423" t="s">
        <v>2780</v>
      </c>
      <c r="E1423" t="s">
        <v>2973</v>
      </c>
      <c r="F1423" t="str">
        <f>"92/147"</f>
        <v>92/147</v>
      </c>
      <c r="G1423" t="s">
        <v>6233</v>
      </c>
      <c r="H1423" t="s">
        <v>6234</v>
      </c>
      <c r="I1423">
        <v>26.34</v>
      </c>
    </row>
    <row r="1424" spans="1:9" ht="12.75">
      <c r="A1424">
        <v>1410</v>
      </c>
      <c r="B1424" t="s">
        <v>3105</v>
      </c>
      <c r="C1424" t="s">
        <v>1649</v>
      </c>
      <c r="D1424" t="s">
        <v>3031</v>
      </c>
      <c r="E1424" t="s">
        <v>3244</v>
      </c>
      <c r="F1424" t="str">
        <f>"29/40"</f>
        <v>29/40</v>
      </c>
      <c r="G1424" t="s">
        <v>3206</v>
      </c>
      <c r="H1424" t="s">
        <v>6235</v>
      </c>
      <c r="I1424">
        <v>26.32</v>
      </c>
    </row>
    <row r="1425" spans="1:9" ht="12.75">
      <c r="A1425">
        <v>1411</v>
      </c>
      <c r="B1425" t="s">
        <v>6236</v>
      </c>
      <c r="C1425" t="s">
        <v>6237</v>
      </c>
      <c r="D1425" t="s">
        <v>2780</v>
      </c>
      <c r="E1425" t="s">
        <v>2818</v>
      </c>
      <c r="F1425" t="str">
        <f>"280/380"</f>
        <v>280/380</v>
      </c>
      <c r="G1425" t="s">
        <v>5546</v>
      </c>
      <c r="H1425" t="s">
        <v>6238</v>
      </c>
      <c r="I1425">
        <v>26.31</v>
      </c>
    </row>
    <row r="1426" spans="1:9" ht="12.75">
      <c r="A1426">
        <v>1412</v>
      </c>
      <c r="B1426" t="s">
        <v>6239</v>
      </c>
      <c r="C1426" t="s">
        <v>2840</v>
      </c>
      <c r="D1426" t="s">
        <v>2780</v>
      </c>
      <c r="E1426" t="s">
        <v>2818</v>
      </c>
      <c r="F1426" t="str">
        <f>"281/380"</f>
        <v>281/380</v>
      </c>
      <c r="G1426" t="s">
        <v>5546</v>
      </c>
      <c r="H1426" t="s">
        <v>6240</v>
      </c>
      <c r="I1426">
        <v>26.31</v>
      </c>
    </row>
    <row r="1427" spans="1:9" ht="12.75">
      <c r="A1427">
        <v>1413</v>
      </c>
      <c r="B1427" t="s">
        <v>4490</v>
      </c>
      <c r="C1427" t="s">
        <v>6241</v>
      </c>
      <c r="D1427" t="s">
        <v>2780</v>
      </c>
      <c r="E1427" t="s">
        <v>2823</v>
      </c>
      <c r="F1427" t="str">
        <f>"539/668"</f>
        <v>539/668</v>
      </c>
      <c r="G1427" t="s">
        <v>6242</v>
      </c>
      <c r="H1427" t="s">
        <v>6243</v>
      </c>
      <c r="I1427">
        <v>26.28</v>
      </c>
    </row>
    <row r="1428" spans="1:9" ht="12.75">
      <c r="A1428">
        <v>1414</v>
      </c>
      <c r="B1428" t="s">
        <v>6244</v>
      </c>
      <c r="C1428" t="s">
        <v>43</v>
      </c>
      <c r="D1428" t="s">
        <v>2780</v>
      </c>
      <c r="E1428" t="s">
        <v>2818</v>
      </c>
      <c r="F1428" t="str">
        <f>"282/380"</f>
        <v>282/380</v>
      </c>
      <c r="G1428" t="s">
        <v>377</v>
      </c>
      <c r="H1428" t="s">
        <v>6245</v>
      </c>
      <c r="I1428">
        <v>26.28</v>
      </c>
    </row>
    <row r="1429" spans="1:9" ht="12.75">
      <c r="A1429">
        <v>1415</v>
      </c>
      <c r="B1429" t="s">
        <v>495</v>
      </c>
      <c r="C1429" t="s">
        <v>2817</v>
      </c>
      <c r="D1429" t="s">
        <v>2780</v>
      </c>
      <c r="E1429" t="s">
        <v>2973</v>
      </c>
      <c r="F1429" t="str">
        <f>"93/147"</f>
        <v>93/147</v>
      </c>
      <c r="G1429" t="s">
        <v>377</v>
      </c>
      <c r="H1429" t="s">
        <v>6246</v>
      </c>
      <c r="I1429">
        <v>26.27</v>
      </c>
    </row>
    <row r="1430" spans="1:9" ht="12.75">
      <c r="A1430">
        <v>1416</v>
      </c>
      <c r="B1430" t="s">
        <v>6247</v>
      </c>
      <c r="C1430" t="s">
        <v>2868</v>
      </c>
      <c r="D1430" t="s">
        <v>2780</v>
      </c>
      <c r="E1430" t="s">
        <v>2781</v>
      </c>
      <c r="F1430" t="str">
        <f>"302/354"</f>
        <v>302/354</v>
      </c>
      <c r="G1430" t="s">
        <v>6248</v>
      </c>
      <c r="H1430" t="s">
        <v>6249</v>
      </c>
      <c r="I1430">
        <v>26.24</v>
      </c>
    </row>
    <row r="1431" spans="1:9" ht="12.75">
      <c r="A1431">
        <v>1417</v>
      </c>
      <c r="B1431" t="s">
        <v>3308</v>
      </c>
      <c r="C1431" t="s">
        <v>6250</v>
      </c>
      <c r="D1431" t="s">
        <v>2780</v>
      </c>
      <c r="E1431" t="s">
        <v>2781</v>
      </c>
      <c r="F1431" t="str">
        <f>"303/354"</f>
        <v>303/354</v>
      </c>
      <c r="G1431" t="s">
        <v>2290</v>
      </c>
      <c r="H1431" t="s">
        <v>6251</v>
      </c>
      <c r="I1431">
        <v>26.23</v>
      </c>
    </row>
    <row r="1432" spans="1:9" ht="12.75">
      <c r="A1432">
        <v>1418</v>
      </c>
      <c r="B1432" t="s">
        <v>4980</v>
      </c>
      <c r="C1432" t="s">
        <v>6252</v>
      </c>
      <c r="D1432" t="s">
        <v>3031</v>
      </c>
      <c r="E1432" t="s">
        <v>3244</v>
      </c>
      <c r="F1432" t="str">
        <f>"30/40"</f>
        <v>30/40</v>
      </c>
      <c r="G1432" t="s">
        <v>2290</v>
      </c>
      <c r="H1432" t="s">
        <v>6253</v>
      </c>
      <c r="I1432">
        <v>26.23</v>
      </c>
    </row>
    <row r="1433" spans="1:9" ht="12.75">
      <c r="A1433">
        <v>1419</v>
      </c>
      <c r="B1433" t="s">
        <v>1068</v>
      </c>
      <c r="C1433" t="s">
        <v>880</v>
      </c>
      <c r="D1433" t="s">
        <v>2780</v>
      </c>
      <c r="E1433" t="s">
        <v>2818</v>
      </c>
      <c r="F1433" t="str">
        <f>"283/380"</f>
        <v>283/380</v>
      </c>
      <c r="G1433" t="s">
        <v>2290</v>
      </c>
      <c r="H1433" t="s">
        <v>6254</v>
      </c>
      <c r="I1433">
        <v>26.23</v>
      </c>
    </row>
    <row r="1434" spans="1:9" ht="12.75">
      <c r="A1434">
        <v>1420</v>
      </c>
      <c r="B1434" t="s">
        <v>1196</v>
      </c>
      <c r="C1434" t="s">
        <v>2239</v>
      </c>
      <c r="D1434" t="s">
        <v>2780</v>
      </c>
      <c r="E1434" t="s">
        <v>2818</v>
      </c>
      <c r="F1434" t="str">
        <f>"284/380"</f>
        <v>284/380</v>
      </c>
      <c r="G1434" t="s">
        <v>2290</v>
      </c>
      <c r="H1434" t="s">
        <v>6255</v>
      </c>
      <c r="I1434">
        <v>26.23</v>
      </c>
    </row>
    <row r="1435" spans="1:9" ht="12.75">
      <c r="A1435">
        <v>1421</v>
      </c>
      <c r="B1435" t="s">
        <v>686</v>
      </c>
      <c r="C1435" t="s">
        <v>2868</v>
      </c>
      <c r="D1435" t="s">
        <v>2780</v>
      </c>
      <c r="E1435" t="s">
        <v>2823</v>
      </c>
      <c r="F1435" t="str">
        <f>"540/668"</f>
        <v>540/668</v>
      </c>
      <c r="G1435" t="s">
        <v>2290</v>
      </c>
      <c r="H1435" t="s">
        <v>6256</v>
      </c>
      <c r="I1435">
        <v>26.23</v>
      </c>
    </row>
    <row r="1436" spans="1:9" ht="12.75">
      <c r="A1436">
        <v>1422</v>
      </c>
      <c r="B1436" t="s">
        <v>1196</v>
      </c>
      <c r="C1436" t="s">
        <v>5875</v>
      </c>
      <c r="D1436" t="s">
        <v>2780</v>
      </c>
      <c r="E1436" t="s">
        <v>2823</v>
      </c>
      <c r="F1436" t="str">
        <f>"541/668"</f>
        <v>541/668</v>
      </c>
      <c r="G1436" t="s">
        <v>2290</v>
      </c>
      <c r="H1436" t="s">
        <v>6257</v>
      </c>
      <c r="I1436">
        <v>26.23</v>
      </c>
    </row>
    <row r="1437" spans="1:9" ht="12.75">
      <c r="A1437">
        <v>1423</v>
      </c>
      <c r="B1437" t="s">
        <v>6258</v>
      </c>
      <c r="C1437" t="s">
        <v>335</v>
      </c>
      <c r="D1437" t="s">
        <v>2780</v>
      </c>
      <c r="E1437" t="s">
        <v>2823</v>
      </c>
      <c r="F1437" t="str">
        <f>"542/668"</f>
        <v>542/668</v>
      </c>
      <c r="G1437" t="s">
        <v>6259</v>
      </c>
      <c r="H1437" t="s">
        <v>6260</v>
      </c>
      <c r="I1437">
        <v>26.21</v>
      </c>
    </row>
    <row r="1438" spans="1:9" ht="12.75">
      <c r="A1438">
        <v>1424</v>
      </c>
      <c r="B1438" t="s">
        <v>1924</v>
      </c>
      <c r="C1438" t="s">
        <v>6261</v>
      </c>
      <c r="D1438" t="s">
        <v>2780</v>
      </c>
      <c r="E1438" t="s">
        <v>2973</v>
      </c>
      <c r="F1438" t="str">
        <f>"94/147"</f>
        <v>94/147</v>
      </c>
      <c r="G1438" t="s">
        <v>4098</v>
      </c>
      <c r="H1438" t="s">
        <v>6262</v>
      </c>
      <c r="I1438">
        <v>26.19</v>
      </c>
    </row>
    <row r="1439" spans="1:9" ht="12.75">
      <c r="A1439">
        <v>1425</v>
      </c>
      <c r="B1439" t="s">
        <v>6263</v>
      </c>
      <c r="C1439" t="s">
        <v>39</v>
      </c>
      <c r="D1439" t="s">
        <v>2780</v>
      </c>
      <c r="E1439" t="s">
        <v>2781</v>
      </c>
      <c r="F1439" t="str">
        <f>"304/354"</f>
        <v>304/354</v>
      </c>
      <c r="G1439" t="s">
        <v>563</v>
      </c>
      <c r="H1439" t="s">
        <v>6264</v>
      </c>
      <c r="I1439">
        <v>26.19</v>
      </c>
    </row>
    <row r="1440" spans="1:9" ht="12.75">
      <c r="A1440">
        <v>1426</v>
      </c>
      <c r="B1440" t="s">
        <v>6265</v>
      </c>
      <c r="C1440" t="s">
        <v>3421</v>
      </c>
      <c r="D1440" t="s">
        <v>2780</v>
      </c>
      <c r="E1440" t="s">
        <v>2818</v>
      </c>
      <c r="F1440" t="str">
        <f>"285/380"</f>
        <v>285/380</v>
      </c>
      <c r="G1440" t="s">
        <v>3450</v>
      </c>
      <c r="H1440" t="s">
        <v>6266</v>
      </c>
      <c r="I1440">
        <v>26.17</v>
      </c>
    </row>
    <row r="1441" spans="1:9" ht="12.75">
      <c r="A1441">
        <v>1427</v>
      </c>
      <c r="B1441" t="s">
        <v>7400</v>
      </c>
      <c r="C1441" t="s">
        <v>7540</v>
      </c>
      <c r="D1441" t="s">
        <v>2780</v>
      </c>
      <c r="E1441" t="s">
        <v>2818</v>
      </c>
      <c r="F1441" t="str">
        <f>"286/380"</f>
        <v>286/380</v>
      </c>
      <c r="G1441" t="s">
        <v>563</v>
      </c>
      <c r="H1441" t="s">
        <v>6267</v>
      </c>
      <c r="I1441">
        <v>26.15</v>
      </c>
    </row>
    <row r="1442" spans="1:9" ht="12.75">
      <c r="A1442">
        <v>1428</v>
      </c>
      <c r="B1442" t="s">
        <v>6268</v>
      </c>
      <c r="C1442" t="s">
        <v>3438</v>
      </c>
      <c r="D1442" t="s">
        <v>2780</v>
      </c>
      <c r="E1442" t="s">
        <v>2823</v>
      </c>
      <c r="F1442" t="str">
        <f>"543/668"</f>
        <v>543/668</v>
      </c>
      <c r="G1442" t="s">
        <v>5285</v>
      </c>
      <c r="H1442" t="s">
        <v>6269</v>
      </c>
      <c r="I1442">
        <v>26.15</v>
      </c>
    </row>
    <row r="1443" spans="1:9" ht="12.75">
      <c r="A1443">
        <v>1429</v>
      </c>
      <c r="B1443" t="s">
        <v>6270</v>
      </c>
      <c r="C1443" t="s">
        <v>2807</v>
      </c>
      <c r="D1443" t="s">
        <v>2780</v>
      </c>
      <c r="E1443" t="s">
        <v>2823</v>
      </c>
      <c r="F1443" t="str">
        <f>"545/668"</f>
        <v>545/668</v>
      </c>
      <c r="G1443" t="s">
        <v>5285</v>
      </c>
      <c r="H1443" t="s">
        <v>6271</v>
      </c>
      <c r="I1443">
        <v>26.14</v>
      </c>
    </row>
    <row r="1444" spans="1:9" ht="12.75">
      <c r="A1444">
        <v>1430</v>
      </c>
      <c r="B1444" t="s">
        <v>4406</v>
      </c>
      <c r="C1444" t="s">
        <v>6272</v>
      </c>
      <c r="D1444" t="s">
        <v>2780</v>
      </c>
      <c r="E1444" t="s">
        <v>2823</v>
      </c>
      <c r="F1444" t="str">
        <f>"544/668"</f>
        <v>544/668</v>
      </c>
      <c r="G1444" t="s">
        <v>5285</v>
      </c>
      <c r="H1444" t="s">
        <v>6271</v>
      </c>
      <c r="I1444">
        <v>26.14</v>
      </c>
    </row>
    <row r="1445" spans="1:9" ht="12.75">
      <c r="A1445">
        <v>1431</v>
      </c>
      <c r="B1445" t="s">
        <v>6273</v>
      </c>
      <c r="C1445" t="s">
        <v>1911</v>
      </c>
      <c r="D1445" t="s">
        <v>2780</v>
      </c>
      <c r="E1445" t="s">
        <v>2823</v>
      </c>
      <c r="F1445" t="str">
        <f>"546/668"</f>
        <v>546/668</v>
      </c>
      <c r="G1445" t="s">
        <v>5285</v>
      </c>
      <c r="H1445" t="s">
        <v>6274</v>
      </c>
      <c r="I1445">
        <v>26.14</v>
      </c>
    </row>
    <row r="1446" spans="1:9" ht="12.75">
      <c r="A1446">
        <v>1432</v>
      </c>
      <c r="B1446" t="s">
        <v>6275</v>
      </c>
      <c r="C1446" t="s">
        <v>2840</v>
      </c>
      <c r="D1446" t="s">
        <v>2780</v>
      </c>
      <c r="E1446" t="s">
        <v>2818</v>
      </c>
      <c r="F1446" t="str">
        <f>"287/380"</f>
        <v>287/380</v>
      </c>
      <c r="G1446" t="s">
        <v>563</v>
      </c>
      <c r="H1446" t="s">
        <v>6276</v>
      </c>
      <c r="I1446">
        <v>26.14</v>
      </c>
    </row>
    <row r="1447" spans="1:9" ht="12.75">
      <c r="A1447">
        <v>1433</v>
      </c>
      <c r="B1447" t="s">
        <v>7834</v>
      </c>
      <c r="C1447" t="s">
        <v>2807</v>
      </c>
      <c r="D1447" t="s">
        <v>2780</v>
      </c>
      <c r="E1447" t="s">
        <v>2823</v>
      </c>
      <c r="F1447" t="str">
        <f>"547/668"</f>
        <v>547/668</v>
      </c>
      <c r="G1447" t="s">
        <v>563</v>
      </c>
      <c r="H1447" t="s">
        <v>6277</v>
      </c>
      <c r="I1447">
        <v>26.14</v>
      </c>
    </row>
    <row r="1448" spans="1:9" ht="12.75">
      <c r="A1448">
        <v>1434</v>
      </c>
      <c r="B1448" t="s">
        <v>638</v>
      </c>
      <c r="C1448" t="s">
        <v>3008</v>
      </c>
      <c r="D1448" t="s">
        <v>2780</v>
      </c>
      <c r="E1448" t="s">
        <v>2781</v>
      </c>
      <c r="F1448" t="str">
        <f>"305/354"</f>
        <v>305/354</v>
      </c>
      <c r="G1448" t="s">
        <v>563</v>
      </c>
      <c r="H1448" t="s">
        <v>6278</v>
      </c>
      <c r="I1448">
        <v>26.14</v>
      </c>
    </row>
    <row r="1449" spans="1:9" ht="12.75">
      <c r="A1449">
        <v>1435</v>
      </c>
      <c r="B1449" t="s">
        <v>3146</v>
      </c>
      <c r="C1449" t="s">
        <v>3554</v>
      </c>
      <c r="D1449" t="s">
        <v>2780</v>
      </c>
      <c r="E1449" t="s">
        <v>2973</v>
      </c>
      <c r="F1449" t="str">
        <f>"95/147"</f>
        <v>95/147</v>
      </c>
      <c r="G1449" t="s">
        <v>563</v>
      </c>
      <c r="H1449" t="s">
        <v>6279</v>
      </c>
      <c r="I1449">
        <v>26.13</v>
      </c>
    </row>
    <row r="1450" spans="1:9" ht="12.75">
      <c r="A1450">
        <v>1436</v>
      </c>
      <c r="B1450" t="s">
        <v>3216</v>
      </c>
      <c r="C1450" t="s">
        <v>3141</v>
      </c>
      <c r="D1450" t="s">
        <v>2780</v>
      </c>
      <c r="E1450" t="s">
        <v>2823</v>
      </c>
      <c r="F1450" t="str">
        <f>"548/668"</f>
        <v>548/668</v>
      </c>
      <c r="G1450" t="s">
        <v>3011</v>
      </c>
      <c r="H1450" t="s">
        <v>6280</v>
      </c>
      <c r="I1450">
        <v>26.12</v>
      </c>
    </row>
    <row r="1451" spans="1:9" ht="12.75">
      <c r="A1451">
        <v>1437</v>
      </c>
      <c r="B1451" t="s">
        <v>6281</v>
      </c>
      <c r="C1451" t="s">
        <v>504</v>
      </c>
      <c r="D1451" t="s">
        <v>2780</v>
      </c>
      <c r="E1451" t="s">
        <v>2818</v>
      </c>
      <c r="F1451" t="str">
        <f>"288/380"</f>
        <v>288/380</v>
      </c>
      <c r="G1451" t="s">
        <v>2936</v>
      </c>
      <c r="H1451" t="s">
        <v>6282</v>
      </c>
      <c r="I1451">
        <v>26.11</v>
      </c>
    </row>
    <row r="1452" spans="1:9" ht="12.75">
      <c r="A1452">
        <v>1438</v>
      </c>
      <c r="B1452" t="s">
        <v>6281</v>
      </c>
      <c r="C1452" t="s">
        <v>2779</v>
      </c>
      <c r="D1452" t="s">
        <v>2780</v>
      </c>
      <c r="E1452" t="s">
        <v>2823</v>
      </c>
      <c r="F1452" t="str">
        <f>"549/668"</f>
        <v>549/668</v>
      </c>
      <c r="G1452" t="s">
        <v>2936</v>
      </c>
      <c r="H1452" t="s">
        <v>6283</v>
      </c>
      <c r="I1452">
        <v>26.1</v>
      </c>
    </row>
    <row r="1453" spans="1:9" ht="12.75">
      <c r="A1453">
        <v>1439</v>
      </c>
      <c r="B1453" t="s">
        <v>6284</v>
      </c>
      <c r="C1453" t="s">
        <v>2857</v>
      </c>
      <c r="D1453" t="s">
        <v>2780</v>
      </c>
      <c r="E1453" t="s">
        <v>2823</v>
      </c>
      <c r="F1453" t="str">
        <f>"550/668"</f>
        <v>550/668</v>
      </c>
      <c r="G1453" t="s">
        <v>1086</v>
      </c>
      <c r="H1453" t="s">
        <v>6285</v>
      </c>
      <c r="I1453">
        <v>26.09</v>
      </c>
    </row>
    <row r="1454" spans="1:9" ht="12.75">
      <c r="A1454">
        <v>1440</v>
      </c>
      <c r="B1454" t="s">
        <v>6286</v>
      </c>
      <c r="C1454" t="s">
        <v>3276</v>
      </c>
      <c r="D1454" t="s">
        <v>2780</v>
      </c>
      <c r="E1454" t="s">
        <v>2923</v>
      </c>
      <c r="F1454" t="str">
        <f>"4/5"</f>
        <v>4/5</v>
      </c>
      <c r="G1454" t="s">
        <v>5079</v>
      </c>
      <c r="H1454" t="s">
        <v>6287</v>
      </c>
      <c r="I1454">
        <v>26.07</v>
      </c>
    </row>
    <row r="1455" spans="1:9" ht="12.75">
      <c r="A1455">
        <v>1441</v>
      </c>
      <c r="B1455" t="s">
        <v>6288</v>
      </c>
      <c r="C1455" t="s">
        <v>2362</v>
      </c>
      <c r="D1455" t="s">
        <v>2780</v>
      </c>
      <c r="E1455" t="s">
        <v>2818</v>
      </c>
      <c r="F1455" t="str">
        <f>"289/380"</f>
        <v>289/380</v>
      </c>
      <c r="G1455" t="s">
        <v>3206</v>
      </c>
      <c r="H1455" t="s">
        <v>6289</v>
      </c>
      <c r="I1455">
        <v>26.07</v>
      </c>
    </row>
    <row r="1456" spans="1:9" ht="12.75">
      <c r="A1456">
        <v>1442</v>
      </c>
      <c r="B1456" t="s">
        <v>6290</v>
      </c>
      <c r="C1456" t="s">
        <v>3438</v>
      </c>
      <c r="D1456" t="s">
        <v>2780</v>
      </c>
      <c r="E1456" t="s">
        <v>2781</v>
      </c>
      <c r="F1456" t="str">
        <f>"306/354"</f>
        <v>306/354</v>
      </c>
      <c r="G1456" t="s">
        <v>1705</v>
      </c>
      <c r="H1456" t="s">
        <v>6291</v>
      </c>
      <c r="I1456">
        <v>26.06</v>
      </c>
    </row>
    <row r="1457" spans="1:9" ht="12.75">
      <c r="A1457">
        <v>1443</v>
      </c>
      <c r="B1457" t="s">
        <v>6292</v>
      </c>
      <c r="C1457" t="s">
        <v>3057</v>
      </c>
      <c r="D1457" t="s">
        <v>2780</v>
      </c>
      <c r="E1457" t="s">
        <v>2823</v>
      </c>
      <c r="F1457" t="str">
        <f>"551/668"</f>
        <v>551/668</v>
      </c>
      <c r="G1457" t="s">
        <v>3067</v>
      </c>
      <c r="H1457" t="s">
        <v>6293</v>
      </c>
      <c r="I1457">
        <v>26.05</v>
      </c>
    </row>
    <row r="1458" spans="1:9" ht="12.75">
      <c r="A1458">
        <v>1444</v>
      </c>
      <c r="B1458" t="s">
        <v>3193</v>
      </c>
      <c r="C1458" t="s">
        <v>3219</v>
      </c>
      <c r="D1458" t="s">
        <v>2780</v>
      </c>
      <c r="E1458" t="s">
        <v>2823</v>
      </c>
      <c r="F1458" t="str">
        <f>"552/668"</f>
        <v>552/668</v>
      </c>
      <c r="G1458" t="s">
        <v>3067</v>
      </c>
      <c r="H1458" t="s">
        <v>6294</v>
      </c>
      <c r="I1458">
        <v>26.05</v>
      </c>
    </row>
    <row r="1459" spans="1:9" ht="12.75">
      <c r="A1459">
        <v>1445</v>
      </c>
      <c r="B1459" t="s">
        <v>6295</v>
      </c>
      <c r="C1459" t="s">
        <v>3141</v>
      </c>
      <c r="D1459" t="s">
        <v>2780</v>
      </c>
      <c r="E1459" t="s">
        <v>2823</v>
      </c>
      <c r="F1459" t="str">
        <f>"553/668"</f>
        <v>553/668</v>
      </c>
      <c r="G1459" t="s">
        <v>5285</v>
      </c>
      <c r="H1459" t="s">
        <v>6296</v>
      </c>
      <c r="I1459">
        <v>26.04</v>
      </c>
    </row>
    <row r="1460" spans="1:9" ht="12.75">
      <c r="A1460">
        <v>1446</v>
      </c>
      <c r="B1460" t="s">
        <v>280</v>
      </c>
      <c r="C1460" t="s">
        <v>3087</v>
      </c>
      <c r="D1460" t="s">
        <v>2780</v>
      </c>
      <c r="E1460" t="s">
        <v>2818</v>
      </c>
      <c r="F1460" t="str">
        <f>"290/380"</f>
        <v>290/380</v>
      </c>
      <c r="G1460" t="s">
        <v>1104</v>
      </c>
      <c r="H1460" t="s">
        <v>6297</v>
      </c>
      <c r="I1460">
        <v>26.02</v>
      </c>
    </row>
    <row r="1461" spans="1:9" ht="12.75">
      <c r="A1461">
        <v>1447</v>
      </c>
      <c r="B1461" t="s">
        <v>6298</v>
      </c>
      <c r="C1461" t="s">
        <v>3114</v>
      </c>
      <c r="D1461" t="s">
        <v>2780</v>
      </c>
      <c r="E1461" t="s">
        <v>2818</v>
      </c>
      <c r="F1461" t="str">
        <f>"291/380"</f>
        <v>291/380</v>
      </c>
      <c r="G1461" t="s">
        <v>3942</v>
      </c>
      <c r="H1461" t="s">
        <v>6299</v>
      </c>
      <c r="I1461">
        <v>26</v>
      </c>
    </row>
    <row r="1462" spans="1:9" ht="12.75">
      <c r="A1462">
        <v>1448</v>
      </c>
      <c r="B1462" t="s">
        <v>3953</v>
      </c>
      <c r="C1462" t="s">
        <v>3633</v>
      </c>
      <c r="D1462" t="s">
        <v>2780</v>
      </c>
      <c r="E1462" t="s">
        <v>2818</v>
      </c>
      <c r="F1462" t="str">
        <f>"292/380"</f>
        <v>292/380</v>
      </c>
      <c r="G1462" t="s">
        <v>446</v>
      </c>
      <c r="H1462" t="s">
        <v>6300</v>
      </c>
      <c r="I1462">
        <v>25.99</v>
      </c>
    </row>
    <row r="1463" spans="1:9" ht="12.75">
      <c r="A1463">
        <v>1449</v>
      </c>
      <c r="B1463" t="s">
        <v>6301</v>
      </c>
      <c r="C1463" t="s">
        <v>6302</v>
      </c>
      <c r="D1463" t="s">
        <v>2780</v>
      </c>
      <c r="E1463" t="s">
        <v>2973</v>
      </c>
      <c r="F1463" t="str">
        <f>"96/147"</f>
        <v>96/147</v>
      </c>
      <c r="G1463" t="s">
        <v>5904</v>
      </c>
      <c r="H1463" t="s">
        <v>6303</v>
      </c>
      <c r="I1463">
        <v>25.99</v>
      </c>
    </row>
    <row r="1464" spans="1:9" ht="12.75">
      <c r="A1464">
        <v>1450</v>
      </c>
      <c r="B1464" t="s">
        <v>6304</v>
      </c>
      <c r="C1464" t="s">
        <v>3464</v>
      </c>
      <c r="D1464" t="s">
        <v>2780</v>
      </c>
      <c r="E1464" t="s">
        <v>2818</v>
      </c>
      <c r="F1464" t="str">
        <f>"293/380"</f>
        <v>293/380</v>
      </c>
      <c r="G1464" t="s">
        <v>6305</v>
      </c>
      <c r="H1464" t="s">
        <v>6306</v>
      </c>
      <c r="I1464">
        <v>25.99</v>
      </c>
    </row>
    <row r="1465" spans="1:9" ht="12.75">
      <c r="A1465">
        <v>1451</v>
      </c>
      <c r="B1465" t="s">
        <v>6307</v>
      </c>
      <c r="C1465" t="s">
        <v>2865</v>
      </c>
      <c r="D1465" t="s">
        <v>2780</v>
      </c>
      <c r="E1465" t="s">
        <v>2818</v>
      </c>
      <c r="F1465" t="str">
        <f>"294/380"</f>
        <v>294/380</v>
      </c>
      <c r="G1465" t="s">
        <v>6308</v>
      </c>
      <c r="H1465" t="s">
        <v>6309</v>
      </c>
      <c r="I1465">
        <v>25.98</v>
      </c>
    </row>
    <row r="1466" spans="1:9" ht="12.75">
      <c r="A1466">
        <v>1452</v>
      </c>
      <c r="B1466" t="s">
        <v>6310</v>
      </c>
      <c r="C1466" t="s">
        <v>2814</v>
      </c>
      <c r="D1466" t="s">
        <v>2780</v>
      </c>
      <c r="E1466" t="s">
        <v>2823</v>
      </c>
      <c r="F1466" t="str">
        <f>"554/668"</f>
        <v>554/668</v>
      </c>
      <c r="G1466" t="s">
        <v>7104</v>
      </c>
      <c r="H1466" t="s">
        <v>6311</v>
      </c>
      <c r="I1466">
        <v>25.96</v>
      </c>
    </row>
    <row r="1467" spans="1:9" ht="12.75">
      <c r="A1467">
        <v>1453</v>
      </c>
      <c r="B1467" t="s">
        <v>3378</v>
      </c>
      <c r="C1467" t="s">
        <v>3057</v>
      </c>
      <c r="D1467" t="s">
        <v>2780</v>
      </c>
      <c r="E1467" t="s">
        <v>2823</v>
      </c>
      <c r="F1467" t="str">
        <f>"555/668"</f>
        <v>555/668</v>
      </c>
      <c r="G1467" t="s">
        <v>7104</v>
      </c>
      <c r="H1467" t="s">
        <v>6312</v>
      </c>
      <c r="I1467">
        <v>25.96</v>
      </c>
    </row>
    <row r="1468" spans="1:9" ht="12.75">
      <c r="A1468">
        <v>1454</v>
      </c>
      <c r="B1468" t="s">
        <v>6313</v>
      </c>
      <c r="C1468" t="s">
        <v>2814</v>
      </c>
      <c r="D1468" t="s">
        <v>2780</v>
      </c>
      <c r="E1468" t="s">
        <v>2823</v>
      </c>
      <c r="F1468" t="str">
        <f>"556/668"</f>
        <v>556/668</v>
      </c>
      <c r="G1468" t="s">
        <v>7104</v>
      </c>
      <c r="H1468" t="s">
        <v>6314</v>
      </c>
      <c r="I1468">
        <v>25.96</v>
      </c>
    </row>
    <row r="1469" spans="1:9" ht="12.75">
      <c r="A1469">
        <v>1455</v>
      </c>
      <c r="B1469" t="s">
        <v>6315</v>
      </c>
      <c r="C1469" t="s">
        <v>2861</v>
      </c>
      <c r="D1469" t="s">
        <v>2780</v>
      </c>
      <c r="E1469" t="s">
        <v>2818</v>
      </c>
      <c r="F1469" t="str">
        <f>"295/380"</f>
        <v>295/380</v>
      </c>
      <c r="G1469" t="s">
        <v>7104</v>
      </c>
      <c r="H1469" t="s">
        <v>6316</v>
      </c>
      <c r="I1469">
        <v>25.96</v>
      </c>
    </row>
    <row r="1470" spans="1:9" ht="12.75">
      <c r="A1470">
        <v>1456</v>
      </c>
      <c r="B1470" t="s">
        <v>7139</v>
      </c>
      <c r="C1470" t="s">
        <v>3141</v>
      </c>
      <c r="D1470" t="s">
        <v>2780</v>
      </c>
      <c r="E1470" t="s">
        <v>2823</v>
      </c>
      <c r="F1470" t="str">
        <f>"557/668"</f>
        <v>557/668</v>
      </c>
      <c r="G1470" t="s">
        <v>6317</v>
      </c>
      <c r="H1470" t="s">
        <v>6318</v>
      </c>
      <c r="I1470">
        <v>25.94</v>
      </c>
    </row>
    <row r="1471" spans="1:9" ht="12.75">
      <c r="A1471">
        <v>1457</v>
      </c>
      <c r="B1471" t="s">
        <v>7139</v>
      </c>
      <c r="C1471" t="s">
        <v>2963</v>
      </c>
      <c r="D1471" t="s">
        <v>2780</v>
      </c>
      <c r="E1471" t="s">
        <v>2823</v>
      </c>
      <c r="F1471" t="str">
        <f>"558/668"</f>
        <v>558/668</v>
      </c>
      <c r="G1471" t="s">
        <v>3046</v>
      </c>
      <c r="H1471" t="s">
        <v>6319</v>
      </c>
      <c r="I1471">
        <v>25.94</v>
      </c>
    </row>
    <row r="1472" spans="1:9" ht="12.75">
      <c r="A1472">
        <v>1458</v>
      </c>
      <c r="B1472" t="s">
        <v>6320</v>
      </c>
      <c r="C1472" t="s">
        <v>2895</v>
      </c>
      <c r="D1472" t="s">
        <v>2780</v>
      </c>
      <c r="E1472" t="s">
        <v>2781</v>
      </c>
      <c r="F1472" t="str">
        <f>"307/354"</f>
        <v>307/354</v>
      </c>
      <c r="G1472" t="s">
        <v>5301</v>
      </c>
      <c r="H1472" t="s">
        <v>6321</v>
      </c>
      <c r="I1472">
        <v>25.93</v>
      </c>
    </row>
    <row r="1473" spans="1:9" ht="12.75">
      <c r="A1473">
        <v>1459</v>
      </c>
      <c r="B1473" t="s">
        <v>5267</v>
      </c>
      <c r="C1473" t="s">
        <v>2895</v>
      </c>
      <c r="D1473" t="s">
        <v>2780</v>
      </c>
      <c r="E1473" t="s">
        <v>2823</v>
      </c>
      <c r="F1473" t="str">
        <f>"559/668"</f>
        <v>559/668</v>
      </c>
      <c r="G1473" t="s">
        <v>636</v>
      </c>
      <c r="H1473" t="s">
        <v>6322</v>
      </c>
      <c r="I1473">
        <v>25.92</v>
      </c>
    </row>
    <row r="1474" spans="1:9" ht="12.75">
      <c r="A1474">
        <v>1460</v>
      </c>
      <c r="B1474" t="s">
        <v>6323</v>
      </c>
      <c r="C1474" t="s">
        <v>6324</v>
      </c>
      <c r="D1474" t="s">
        <v>2780</v>
      </c>
      <c r="E1474" t="s">
        <v>2818</v>
      </c>
      <c r="F1474" t="str">
        <f>"296/380"</f>
        <v>296/380</v>
      </c>
      <c r="G1474" t="s">
        <v>636</v>
      </c>
      <c r="H1474" t="s">
        <v>6325</v>
      </c>
      <c r="I1474">
        <v>25.92</v>
      </c>
    </row>
    <row r="1475" spans="1:9" ht="12.75">
      <c r="A1475">
        <v>1461</v>
      </c>
      <c r="B1475" t="s">
        <v>6326</v>
      </c>
      <c r="C1475" t="s">
        <v>3406</v>
      </c>
      <c r="D1475" t="s">
        <v>2780</v>
      </c>
      <c r="E1475" t="s">
        <v>2973</v>
      </c>
      <c r="F1475" t="str">
        <f>"97/147"</f>
        <v>97/147</v>
      </c>
      <c r="G1475" t="s">
        <v>1600</v>
      </c>
      <c r="H1475" t="s">
        <v>6327</v>
      </c>
      <c r="I1475">
        <v>25.9</v>
      </c>
    </row>
    <row r="1476" spans="1:9" ht="12.75">
      <c r="A1476">
        <v>1462</v>
      </c>
      <c r="B1476" t="s">
        <v>6328</v>
      </c>
      <c r="C1476" t="s">
        <v>3164</v>
      </c>
      <c r="D1476" t="s">
        <v>2780</v>
      </c>
      <c r="E1476" t="s">
        <v>2818</v>
      </c>
      <c r="F1476" t="str">
        <f>"297/380"</f>
        <v>297/380</v>
      </c>
      <c r="G1476" t="s">
        <v>636</v>
      </c>
      <c r="H1476" t="s">
        <v>6329</v>
      </c>
      <c r="I1476">
        <v>25.9</v>
      </c>
    </row>
    <row r="1477" spans="1:9" ht="12.75">
      <c r="A1477">
        <v>1463</v>
      </c>
      <c r="B1477" t="s">
        <v>2996</v>
      </c>
      <c r="C1477" t="s">
        <v>2966</v>
      </c>
      <c r="D1477" t="s">
        <v>2780</v>
      </c>
      <c r="E1477" t="s">
        <v>2823</v>
      </c>
      <c r="F1477" t="str">
        <f>"560/668"</f>
        <v>560/668</v>
      </c>
      <c r="G1477" t="s">
        <v>5079</v>
      </c>
      <c r="H1477" t="s">
        <v>6330</v>
      </c>
      <c r="I1477">
        <v>25.9</v>
      </c>
    </row>
    <row r="1478" spans="1:9" ht="12.75">
      <c r="A1478">
        <v>1464</v>
      </c>
      <c r="B1478" t="s">
        <v>5204</v>
      </c>
      <c r="C1478" t="s">
        <v>3286</v>
      </c>
      <c r="D1478" t="s">
        <v>2780</v>
      </c>
      <c r="E1478" t="s">
        <v>2818</v>
      </c>
      <c r="F1478" t="str">
        <f>"298/380"</f>
        <v>298/380</v>
      </c>
      <c r="G1478" t="s">
        <v>6331</v>
      </c>
      <c r="H1478" t="s">
        <v>6332</v>
      </c>
      <c r="I1478">
        <v>25.82</v>
      </c>
    </row>
    <row r="1479" spans="1:9" ht="12.75">
      <c r="A1479">
        <v>1465</v>
      </c>
      <c r="B1479" t="s">
        <v>5311</v>
      </c>
      <c r="C1479" t="s">
        <v>3213</v>
      </c>
      <c r="D1479" t="s">
        <v>2780</v>
      </c>
      <c r="E1479" t="s">
        <v>2781</v>
      </c>
      <c r="F1479" t="str">
        <f>"308/354"</f>
        <v>308/354</v>
      </c>
      <c r="G1479" t="s">
        <v>2896</v>
      </c>
      <c r="H1479" t="s">
        <v>6333</v>
      </c>
      <c r="I1479">
        <v>25.79</v>
      </c>
    </row>
    <row r="1480" spans="1:9" ht="12.75">
      <c r="A1480">
        <v>1466</v>
      </c>
      <c r="B1480" t="s">
        <v>3105</v>
      </c>
      <c r="C1480" t="s">
        <v>2942</v>
      </c>
      <c r="D1480" t="s">
        <v>2780</v>
      </c>
      <c r="E1480" t="s">
        <v>2818</v>
      </c>
      <c r="F1480" t="str">
        <f>"299/380"</f>
        <v>299/380</v>
      </c>
      <c r="G1480" t="s">
        <v>4098</v>
      </c>
      <c r="H1480" t="s">
        <v>6334</v>
      </c>
      <c r="I1480">
        <v>25.79</v>
      </c>
    </row>
    <row r="1481" spans="1:9" ht="12.75">
      <c r="A1481">
        <v>1467</v>
      </c>
      <c r="B1481" t="s">
        <v>6335</v>
      </c>
      <c r="C1481" t="s">
        <v>3417</v>
      </c>
      <c r="D1481" t="s">
        <v>2780</v>
      </c>
      <c r="E1481" t="s">
        <v>2973</v>
      </c>
      <c r="F1481" t="str">
        <f>"98/147"</f>
        <v>98/147</v>
      </c>
      <c r="G1481" t="s">
        <v>3543</v>
      </c>
      <c r="H1481" t="s">
        <v>6336</v>
      </c>
      <c r="I1481">
        <v>25.78</v>
      </c>
    </row>
    <row r="1482" spans="1:9" ht="12.75">
      <c r="A1482">
        <v>1468</v>
      </c>
      <c r="B1482" t="s">
        <v>7540</v>
      </c>
      <c r="C1482" t="s">
        <v>2972</v>
      </c>
      <c r="D1482" t="s">
        <v>2780</v>
      </c>
      <c r="E1482" t="s">
        <v>2818</v>
      </c>
      <c r="F1482" t="str">
        <f>"300/380"</f>
        <v>300/380</v>
      </c>
      <c r="G1482" t="s">
        <v>3516</v>
      </c>
      <c r="H1482" t="s">
        <v>6337</v>
      </c>
      <c r="I1482">
        <v>25.78</v>
      </c>
    </row>
    <row r="1483" spans="1:9" ht="12.75">
      <c r="A1483">
        <v>1469</v>
      </c>
      <c r="B1483" t="s">
        <v>6338</v>
      </c>
      <c r="C1483" t="s">
        <v>3346</v>
      </c>
      <c r="D1483" t="s">
        <v>2780</v>
      </c>
      <c r="E1483" t="s">
        <v>2818</v>
      </c>
      <c r="F1483" t="str">
        <f>"301/380"</f>
        <v>301/380</v>
      </c>
      <c r="G1483" t="s">
        <v>1723</v>
      </c>
      <c r="H1483" t="s">
        <v>6339</v>
      </c>
      <c r="I1483">
        <v>25.77</v>
      </c>
    </row>
    <row r="1484" spans="1:9" ht="12.75">
      <c r="A1484">
        <v>1470</v>
      </c>
      <c r="B1484" t="s">
        <v>6340</v>
      </c>
      <c r="C1484" t="s">
        <v>504</v>
      </c>
      <c r="D1484" t="s">
        <v>2780</v>
      </c>
      <c r="E1484" t="s">
        <v>2823</v>
      </c>
      <c r="F1484" t="str">
        <f>"561/668"</f>
        <v>561/668</v>
      </c>
      <c r="G1484" t="s">
        <v>168</v>
      </c>
      <c r="H1484" t="s">
        <v>6341</v>
      </c>
      <c r="I1484">
        <v>25.77</v>
      </c>
    </row>
    <row r="1485" spans="1:9" ht="12.75">
      <c r="A1485">
        <v>1471</v>
      </c>
      <c r="B1485" t="s">
        <v>6342</v>
      </c>
      <c r="C1485" t="s">
        <v>2886</v>
      </c>
      <c r="D1485" t="s">
        <v>2780</v>
      </c>
      <c r="E1485" t="s">
        <v>2818</v>
      </c>
      <c r="F1485" t="str">
        <f>"302/380"</f>
        <v>302/380</v>
      </c>
      <c r="G1485" t="s">
        <v>6343</v>
      </c>
      <c r="H1485" t="s">
        <v>6344</v>
      </c>
      <c r="I1485">
        <v>25.76</v>
      </c>
    </row>
    <row r="1486" spans="1:9" ht="12.75">
      <c r="A1486">
        <v>1472</v>
      </c>
      <c r="B1486" t="s">
        <v>6131</v>
      </c>
      <c r="C1486" t="s">
        <v>5387</v>
      </c>
      <c r="D1486" t="s">
        <v>2780</v>
      </c>
      <c r="E1486" t="s">
        <v>2973</v>
      </c>
      <c r="F1486" t="str">
        <f>"99/147"</f>
        <v>99/147</v>
      </c>
      <c r="G1486" t="s">
        <v>3733</v>
      </c>
      <c r="H1486" t="s">
        <v>6345</v>
      </c>
      <c r="I1486">
        <v>25.75</v>
      </c>
    </row>
    <row r="1487" spans="1:9" ht="12.75">
      <c r="A1487">
        <v>1473</v>
      </c>
      <c r="B1487" t="s">
        <v>6346</v>
      </c>
      <c r="C1487" t="s">
        <v>2861</v>
      </c>
      <c r="D1487" t="s">
        <v>2780</v>
      </c>
      <c r="E1487" t="s">
        <v>2823</v>
      </c>
      <c r="F1487" t="str">
        <f>"562/668"</f>
        <v>562/668</v>
      </c>
      <c r="G1487" t="s">
        <v>6347</v>
      </c>
      <c r="H1487" t="s">
        <v>6348</v>
      </c>
      <c r="I1487">
        <v>25.74</v>
      </c>
    </row>
    <row r="1488" spans="1:9" ht="12.75">
      <c r="A1488">
        <v>1474</v>
      </c>
      <c r="B1488" t="s">
        <v>6349</v>
      </c>
      <c r="C1488" t="s">
        <v>3087</v>
      </c>
      <c r="D1488" t="s">
        <v>2780</v>
      </c>
      <c r="E1488" t="s">
        <v>2823</v>
      </c>
      <c r="F1488" t="str">
        <f>"563/668"</f>
        <v>563/668</v>
      </c>
      <c r="G1488" t="s">
        <v>5799</v>
      </c>
      <c r="H1488" t="s">
        <v>6350</v>
      </c>
      <c r="I1488">
        <v>25.73</v>
      </c>
    </row>
    <row r="1489" spans="1:9" ht="12.75">
      <c r="A1489">
        <v>1475</v>
      </c>
      <c r="B1489" t="s">
        <v>2597</v>
      </c>
      <c r="C1489" t="s">
        <v>335</v>
      </c>
      <c r="D1489" t="s">
        <v>2780</v>
      </c>
      <c r="E1489" t="s">
        <v>2818</v>
      </c>
      <c r="F1489" t="str">
        <f>"303/380"</f>
        <v>303/380</v>
      </c>
      <c r="G1489" t="s">
        <v>5799</v>
      </c>
      <c r="H1489" t="s">
        <v>6351</v>
      </c>
      <c r="I1489">
        <v>25.73</v>
      </c>
    </row>
    <row r="1490" spans="1:9" ht="12.75">
      <c r="A1490">
        <v>1476</v>
      </c>
      <c r="B1490" t="s">
        <v>6352</v>
      </c>
      <c r="C1490" t="s">
        <v>3164</v>
      </c>
      <c r="D1490" t="s">
        <v>2780</v>
      </c>
      <c r="E1490" t="s">
        <v>2823</v>
      </c>
      <c r="F1490" t="str">
        <f>"564/668"</f>
        <v>564/668</v>
      </c>
      <c r="G1490" t="s">
        <v>1045</v>
      </c>
      <c r="H1490" t="s">
        <v>6353</v>
      </c>
      <c r="I1490">
        <v>25.71</v>
      </c>
    </row>
    <row r="1491" spans="1:9" ht="12.75">
      <c r="A1491">
        <v>1477</v>
      </c>
      <c r="B1491" t="s">
        <v>6354</v>
      </c>
      <c r="C1491" t="s">
        <v>2902</v>
      </c>
      <c r="D1491" t="s">
        <v>2780</v>
      </c>
      <c r="E1491" t="s">
        <v>2823</v>
      </c>
      <c r="F1491" t="str">
        <f>"565/668"</f>
        <v>565/668</v>
      </c>
      <c r="G1491" t="s">
        <v>6355</v>
      </c>
      <c r="H1491" t="s">
        <v>6356</v>
      </c>
      <c r="I1491">
        <v>25.66</v>
      </c>
    </row>
    <row r="1492" spans="1:9" ht="12.75">
      <c r="A1492">
        <v>1478</v>
      </c>
      <c r="B1492" t="s">
        <v>6357</v>
      </c>
      <c r="C1492" t="s">
        <v>3633</v>
      </c>
      <c r="D1492" t="s">
        <v>2780</v>
      </c>
      <c r="E1492" t="s">
        <v>2818</v>
      </c>
      <c r="F1492" t="str">
        <f>"304/380"</f>
        <v>304/380</v>
      </c>
      <c r="G1492" t="s">
        <v>6358</v>
      </c>
      <c r="H1492" t="s">
        <v>6359</v>
      </c>
      <c r="I1492">
        <v>25.62</v>
      </c>
    </row>
    <row r="1493" spans="1:9" ht="12.75">
      <c r="A1493">
        <v>1479</v>
      </c>
      <c r="B1493" t="s">
        <v>6360</v>
      </c>
      <c r="C1493" t="s">
        <v>3346</v>
      </c>
      <c r="D1493" t="s">
        <v>2780</v>
      </c>
      <c r="E1493" t="s">
        <v>2818</v>
      </c>
      <c r="F1493" t="str">
        <f>"305/380"</f>
        <v>305/380</v>
      </c>
      <c r="G1493" t="s">
        <v>758</v>
      </c>
      <c r="H1493" t="s">
        <v>6361</v>
      </c>
      <c r="I1493">
        <v>25.5</v>
      </c>
    </row>
    <row r="1494" spans="1:9" ht="12.75">
      <c r="A1494">
        <v>1480</v>
      </c>
      <c r="B1494" t="s">
        <v>6362</v>
      </c>
      <c r="C1494" t="s">
        <v>2865</v>
      </c>
      <c r="D1494" t="s">
        <v>2780</v>
      </c>
      <c r="E1494" t="s">
        <v>2823</v>
      </c>
      <c r="F1494" t="str">
        <f>"566/668"</f>
        <v>566/668</v>
      </c>
      <c r="G1494" t="s">
        <v>5821</v>
      </c>
      <c r="H1494" t="s">
        <v>6363</v>
      </c>
      <c r="I1494">
        <v>25.49</v>
      </c>
    </row>
    <row r="1495" spans="1:9" ht="12.75">
      <c r="A1495">
        <v>1481</v>
      </c>
      <c r="B1495" t="s">
        <v>2599</v>
      </c>
      <c r="C1495" t="s">
        <v>3108</v>
      </c>
      <c r="D1495" t="s">
        <v>2780</v>
      </c>
      <c r="E1495" t="s">
        <v>2973</v>
      </c>
      <c r="F1495" t="str">
        <f>"100/147"</f>
        <v>100/147</v>
      </c>
      <c r="G1495" t="s">
        <v>3507</v>
      </c>
      <c r="H1495" t="s">
        <v>6364</v>
      </c>
      <c r="I1495">
        <v>25.48</v>
      </c>
    </row>
    <row r="1496" spans="1:9" ht="12.75">
      <c r="A1496">
        <v>1482</v>
      </c>
      <c r="B1496" t="s">
        <v>6365</v>
      </c>
      <c r="C1496" t="s">
        <v>3108</v>
      </c>
      <c r="D1496" t="s">
        <v>2780</v>
      </c>
      <c r="E1496" t="s">
        <v>2818</v>
      </c>
      <c r="F1496" t="str">
        <f>"306/380"</f>
        <v>306/380</v>
      </c>
      <c r="G1496" t="s">
        <v>6366</v>
      </c>
      <c r="H1496" t="s">
        <v>6367</v>
      </c>
      <c r="I1496">
        <v>25.47</v>
      </c>
    </row>
    <row r="1497" spans="1:9" ht="12.75">
      <c r="A1497">
        <v>1483</v>
      </c>
      <c r="B1497" t="s">
        <v>7337</v>
      </c>
      <c r="C1497" t="s">
        <v>3286</v>
      </c>
      <c r="D1497" t="s">
        <v>2780</v>
      </c>
      <c r="E1497" t="s">
        <v>2973</v>
      </c>
      <c r="F1497" t="str">
        <f>"101/147"</f>
        <v>101/147</v>
      </c>
      <c r="G1497" t="s">
        <v>1019</v>
      </c>
      <c r="H1497" t="s">
        <v>6368</v>
      </c>
      <c r="I1497">
        <v>25.47</v>
      </c>
    </row>
    <row r="1498" spans="1:9" ht="12.75">
      <c r="A1498">
        <v>1484</v>
      </c>
      <c r="B1498" t="s">
        <v>4887</v>
      </c>
      <c r="C1498" t="s">
        <v>6369</v>
      </c>
      <c r="D1498" t="s">
        <v>3031</v>
      </c>
      <c r="E1498" t="s">
        <v>3244</v>
      </c>
      <c r="F1498" t="str">
        <f>"31/40"</f>
        <v>31/40</v>
      </c>
      <c r="G1498" t="s">
        <v>3067</v>
      </c>
      <c r="H1498" t="s">
        <v>6370</v>
      </c>
      <c r="I1498">
        <v>25.46</v>
      </c>
    </row>
    <row r="1499" spans="1:9" ht="12.75">
      <c r="A1499">
        <v>1485</v>
      </c>
      <c r="B1499" t="s">
        <v>6371</v>
      </c>
      <c r="C1499" t="s">
        <v>2857</v>
      </c>
      <c r="D1499" t="s">
        <v>2780</v>
      </c>
      <c r="E1499" t="s">
        <v>2823</v>
      </c>
      <c r="F1499" t="str">
        <f>"567/668"</f>
        <v>567/668</v>
      </c>
      <c r="G1499" t="s">
        <v>3046</v>
      </c>
      <c r="H1499" t="s">
        <v>6372</v>
      </c>
      <c r="I1499">
        <v>25.46</v>
      </c>
    </row>
    <row r="1500" spans="1:9" ht="12.75">
      <c r="A1500">
        <v>1486</v>
      </c>
      <c r="B1500" t="s">
        <v>6373</v>
      </c>
      <c r="C1500" t="s">
        <v>2836</v>
      </c>
      <c r="D1500" t="s">
        <v>2780</v>
      </c>
      <c r="E1500" t="s">
        <v>2781</v>
      </c>
      <c r="F1500" t="str">
        <f>"309/354"</f>
        <v>309/354</v>
      </c>
      <c r="G1500" t="s">
        <v>6374</v>
      </c>
      <c r="H1500" t="s">
        <v>6375</v>
      </c>
      <c r="I1500">
        <v>25.46</v>
      </c>
    </row>
    <row r="1501" spans="1:9" ht="12.75">
      <c r="A1501">
        <v>1487</v>
      </c>
      <c r="B1501" t="s">
        <v>6376</v>
      </c>
      <c r="C1501" t="s">
        <v>2817</v>
      </c>
      <c r="D1501" t="s">
        <v>2780</v>
      </c>
      <c r="E1501" t="s">
        <v>2973</v>
      </c>
      <c r="F1501" t="str">
        <f>"102/147"</f>
        <v>102/147</v>
      </c>
      <c r="G1501" t="s">
        <v>6377</v>
      </c>
      <c r="H1501" t="s">
        <v>6378</v>
      </c>
      <c r="I1501">
        <v>25.45</v>
      </c>
    </row>
    <row r="1502" spans="1:9" ht="12.75">
      <c r="A1502">
        <v>1488</v>
      </c>
      <c r="B1502" t="s">
        <v>6379</v>
      </c>
      <c r="C1502" t="s">
        <v>2861</v>
      </c>
      <c r="D1502" t="s">
        <v>2780</v>
      </c>
      <c r="E1502" t="s">
        <v>2823</v>
      </c>
      <c r="F1502" t="str">
        <f>"568/668"</f>
        <v>568/668</v>
      </c>
      <c r="G1502" t="s">
        <v>59</v>
      </c>
      <c r="H1502" t="s">
        <v>6380</v>
      </c>
      <c r="I1502">
        <v>25.45</v>
      </c>
    </row>
    <row r="1503" spans="1:9" ht="12.75">
      <c r="A1503">
        <v>1489</v>
      </c>
      <c r="B1503" t="s">
        <v>6381</v>
      </c>
      <c r="C1503" t="s">
        <v>4894</v>
      </c>
      <c r="D1503" t="s">
        <v>2780</v>
      </c>
      <c r="E1503" t="s">
        <v>2823</v>
      </c>
      <c r="F1503" t="str">
        <f>"569/668"</f>
        <v>569/668</v>
      </c>
      <c r="G1503" t="s">
        <v>3875</v>
      </c>
      <c r="H1503" t="s">
        <v>6382</v>
      </c>
      <c r="I1503">
        <v>25.44</v>
      </c>
    </row>
    <row r="1504" spans="1:9" ht="12.75">
      <c r="A1504">
        <v>1490</v>
      </c>
      <c r="B1504" t="s">
        <v>6383</v>
      </c>
      <c r="C1504" t="s">
        <v>2865</v>
      </c>
      <c r="D1504" t="s">
        <v>2780</v>
      </c>
      <c r="E1504" t="s">
        <v>2823</v>
      </c>
      <c r="F1504" t="str">
        <f>"570/668"</f>
        <v>570/668</v>
      </c>
      <c r="G1504" t="s">
        <v>4891</v>
      </c>
      <c r="H1504" t="s">
        <v>6384</v>
      </c>
      <c r="I1504">
        <v>25.43</v>
      </c>
    </row>
    <row r="1505" spans="1:9" ht="12.75">
      <c r="A1505">
        <v>1491</v>
      </c>
      <c r="B1505" t="s">
        <v>6385</v>
      </c>
      <c r="C1505" t="s">
        <v>3560</v>
      </c>
      <c r="D1505" t="s">
        <v>2780</v>
      </c>
      <c r="E1505" t="s">
        <v>2823</v>
      </c>
      <c r="F1505" t="str">
        <f>"571/668"</f>
        <v>571/668</v>
      </c>
      <c r="G1505" t="s">
        <v>3715</v>
      </c>
      <c r="H1505" t="s">
        <v>6386</v>
      </c>
      <c r="I1505">
        <v>25.43</v>
      </c>
    </row>
    <row r="1506" spans="1:9" ht="12.75">
      <c r="A1506">
        <v>1492</v>
      </c>
      <c r="B1506" t="s">
        <v>7676</v>
      </c>
      <c r="C1506" t="s">
        <v>2895</v>
      </c>
      <c r="D1506" t="s">
        <v>2780</v>
      </c>
      <c r="E1506" t="s">
        <v>2823</v>
      </c>
      <c r="F1506" t="str">
        <f>"572/668"</f>
        <v>572/668</v>
      </c>
      <c r="G1506" t="s">
        <v>3875</v>
      </c>
      <c r="H1506" t="s">
        <v>6387</v>
      </c>
      <c r="I1506">
        <v>25.42</v>
      </c>
    </row>
    <row r="1507" spans="1:9" ht="12.75">
      <c r="A1507">
        <v>1493</v>
      </c>
      <c r="B1507" t="s">
        <v>6388</v>
      </c>
      <c r="C1507" t="s">
        <v>2807</v>
      </c>
      <c r="D1507" t="s">
        <v>2780</v>
      </c>
      <c r="E1507" t="s">
        <v>2781</v>
      </c>
      <c r="F1507" t="str">
        <f>"310/354"</f>
        <v>310/354</v>
      </c>
      <c r="G1507" t="s">
        <v>1608</v>
      </c>
      <c r="H1507" t="s">
        <v>6389</v>
      </c>
      <c r="I1507">
        <v>25.42</v>
      </c>
    </row>
    <row r="1508" spans="1:9" ht="12.75">
      <c r="A1508">
        <v>1494</v>
      </c>
      <c r="B1508" t="s">
        <v>6390</v>
      </c>
      <c r="C1508" t="s">
        <v>2956</v>
      </c>
      <c r="D1508" t="s">
        <v>2780</v>
      </c>
      <c r="E1508" t="s">
        <v>2818</v>
      </c>
      <c r="F1508" t="str">
        <f>"307/380"</f>
        <v>307/380</v>
      </c>
      <c r="G1508" t="s">
        <v>3261</v>
      </c>
      <c r="H1508" t="s">
        <v>6391</v>
      </c>
      <c r="I1508">
        <v>25.4</v>
      </c>
    </row>
    <row r="1509" spans="1:9" ht="12.75">
      <c r="A1509">
        <v>1495</v>
      </c>
      <c r="B1509" t="s">
        <v>6392</v>
      </c>
      <c r="C1509" t="s">
        <v>3174</v>
      </c>
      <c r="D1509" t="s">
        <v>2780</v>
      </c>
      <c r="E1509" t="s">
        <v>2823</v>
      </c>
      <c r="F1509" t="str">
        <f>"573/668"</f>
        <v>573/668</v>
      </c>
      <c r="G1509" t="s">
        <v>6393</v>
      </c>
      <c r="H1509" t="s">
        <v>6394</v>
      </c>
      <c r="I1509">
        <v>25.4</v>
      </c>
    </row>
    <row r="1510" spans="1:9" ht="12.75">
      <c r="A1510">
        <v>1496</v>
      </c>
      <c r="B1510" t="s">
        <v>6395</v>
      </c>
      <c r="C1510" t="s">
        <v>3576</v>
      </c>
      <c r="D1510" t="s">
        <v>2780</v>
      </c>
      <c r="E1510" t="s">
        <v>2818</v>
      </c>
      <c r="F1510" t="str">
        <f>"308/380"</f>
        <v>308/380</v>
      </c>
      <c r="G1510" t="s">
        <v>881</v>
      </c>
      <c r="H1510" t="s">
        <v>6396</v>
      </c>
      <c r="I1510">
        <v>25.4</v>
      </c>
    </row>
    <row r="1511" spans="1:9" ht="12.75">
      <c r="A1511">
        <v>1497</v>
      </c>
      <c r="B1511" t="s">
        <v>6397</v>
      </c>
      <c r="C1511" t="s">
        <v>2942</v>
      </c>
      <c r="D1511" t="s">
        <v>2780</v>
      </c>
      <c r="E1511" t="s">
        <v>2823</v>
      </c>
      <c r="F1511" t="str">
        <f>"574/668"</f>
        <v>574/668</v>
      </c>
      <c r="G1511" t="s">
        <v>3706</v>
      </c>
      <c r="H1511" t="s">
        <v>6398</v>
      </c>
      <c r="I1511">
        <v>25.39</v>
      </c>
    </row>
    <row r="1512" spans="1:9" ht="12.75">
      <c r="A1512">
        <v>1498</v>
      </c>
      <c r="B1512" t="s">
        <v>6399</v>
      </c>
      <c r="C1512" t="s">
        <v>2807</v>
      </c>
      <c r="D1512" t="s">
        <v>2780</v>
      </c>
      <c r="E1512" t="s">
        <v>2781</v>
      </c>
      <c r="F1512" t="str">
        <f>"311/354"</f>
        <v>311/354</v>
      </c>
      <c r="G1512" t="s">
        <v>6400</v>
      </c>
      <c r="H1512" t="s">
        <v>6401</v>
      </c>
      <c r="I1512">
        <v>25.38</v>
      </c>
    </row>
    <row r="1513" spans="1:9" ht="12.75">
      <c r="A1513">
        <v>1499</v>
      </c>
      <c r="B1513" t="s">
        <v>6402</v>
      </c>
      <c r="C1513" t="s">
        <v>3464</v>
      </c>
      <c r="D1513" t="s">
        <v>2780</v>
      </c>
      <c r="E1513" t="s">
        <v>2823</v>
      </c>
      <c r="F1513" t="str">
        <f>"575/668"</f>
        <v>575/668</v>
      </c>
      <c r="G1513" t="s">
        <v>59</v>
      </c>
      <c r="H1513" t="s">
        <v>6403</v>
      </c>
      <c r="I1513">
        <v>25.38</v>
      </c>
    </row>
    <row r="1514" spans="1:9" ht="12.75">
      <c r="A1514">
        <v>1500</v>
      </c>
      <c r="B1514" t="s">
        <v>2057</v>
      </c>
      <c r="C1514" t="s">
        <v>3017</v>
      </c>
      <c r="D1514" t="s">
        <v>2780</v>
      </c>
      <c r="E1514" t="s">
        <v>2781</v>
      </c>
      <c r="F1514" t="str">
        <f>"312/354"</f>
        <v>312/354</v>
      </c>
      <c r="G1514" t="s">
        <v>446</v>
      </c>
      <c r="H1514" t="s">
        <v>6404</v>
      </c>
      <c r="I1514">
        <v>25.37</v>
      </c>
    </row>
    <row r="1515" spans="1:9" ht="12.75">
      <c r="A1515">
        <v>1501</v>
      </c>
      <c r="B1515" t="s">
        <v>2097</v>
      </c>
      <c r="C1515" t="s">
        <v>3464</v>
      </c>
      <c r="D1515" t="s">
        <v>2780</v>
      </c>
      <c r="E1515" t="s">
        <v>2823</v>
      </c>
      <c r="F1515" t="str">
        <f>"576/668"</f>
        <v>576/668</v>
      </c>
      <c r="G1515" t="s">
        <v>6405</v>
      </c>
      <c r="H1515" t="s">
        <v>6406</v>
      </c>
      <c r="I1515">
        <v>25.36</v>
      </c>
    </row>
    <row r="1516" spans="1:9" ht="12.75">
      <c r="A1516">
        <v>1502</v>
      </c>
      <c r="B1516" t="s">
        <v>2856</v>
      </c>
      <c r="C1516" t="s">
        <v>2963</v>
      </c>
      <c r="D1516" t="s">
        <v>2780</v>
      </c>
      <c r="E1516" t="s">
        <v>2781</v>
      </c>
      <c r="F1516" t="str">
        <f>"313/354"</f>
        <v>313/354</v>
      </c>
      <c r="G1516" t="s">
        <v>6405</v>
      </c>
      <c r="H1516" t="s">
        <v>6407</v>
      </c>
      <c r="I1516">
        <v>25.36</v>
      </c>
    </row>
    <row r="1517" spans="1:9" ht="12.75">
      <c r="A1517">
        <v>1503</v>
      </c>
      <c r="B1517" t="s">
        <v>2182</v>
      </c>
      <c r="C1517" t="s">
        <v>3008</v>
      </c>
      <c r="D1517" t="s">
        <v>2780</v>
      </c>
      <c r="E1517" t="s">
        <v>2781</v>
      </c>
      <c r="F1517" t="str">
        <f>"314/354"</f>
        <v>314/354</v>
      </c>
      <c r="G1517" t="s">
        <v>3252</v>
      </c>
      <c r="H1517" t="s">
        <v>6408</v>
      </c>
      <c r="I1517">
        <v>25.35</v>
      </c>
    </row>
    <row r="1518" spans="1:9" ht="12.75">
      <c r="A1518">
        <v>1504</v>
      </c>
      <c r="B1518" t="s">
        <v>6409</v>
      </c>
      <c r="C1518" t="s">
        <v>6410</v>
      </c>
      <c r="D1518" t="s">
        <v>2780</v>
      </c>
      <c r="E1518" t="s">
        <v>2781</v>
      </c>
      <c r="F1518" t="str">
        <f>"315/354"</f>
        <v>315/354</v>
      </c>
      <c r="G1518" t="s">
        <v>4330</v>
      </c>
      <c r="H1518" t="s">
        <v>6411</v>
      </c>
      <c r="I1518">
        <v>25.34</v>
      </c>
    </row>
    <row r="1519" spans="1:9" ht="12.75">
      <c r="A1519">
        <v>1505</v>
      </c>
      <c r="B1519" t="s">
        <v>6412</v>
      </c>
      <c r="C1519" t="s">
        <v>6413</v>
      </c>
      <c r="D1519" t="s">
        <v>2780</v>
      </c>
      <c r="E1519" t="s">
        <v>2823</v>
      </c>
      <c r="F1519" t="str">
        <f>"577/668"</f>
        <v>577/668</v>
      </c>
      <c r="G1519" t="s">
        <v>2994</v>
      </c>
      <c r="H1519" t="s">
        <v>6414</v>
      </c>
      <c r="I1519">
        <v>25.34</v>
      </c>
    </row>
    <row r="1520" spans="1:9" ht="12.75">
      <c r="A1520">
        <v>1506</v>
      </c>
      <c r="B1520" t="s">
        <v>6415</v>
      </c>
      <c r="C1520" t="s">
        <v>2807</v>
      </c>
      <c r="D1520" t="s">
        <v>2780</v>
      </c>
      <c r="E1520" t="s">
        <v>2823</v>
      </c>
      <c r="F1520" t="str">
        <f>"578/668"</f>
        <v>578/668</v>
      </c>
      <c r="G1520" t="s">
        <v>1086</v>
      </c>
      <c r="H1520" t="s">
        <v>6416</v>
      </c>
      <c r="I1520">
        <v>25.32</v>
      </c>
    </row>
    <row r="1521" spans="1:9" ht="12.75">
      <c r="A1521">
        <v>1507</v>
      </c>
      <c r="B1521" t="s">
        <v>6417</v>
      </c>
      <c r="C1521" t="s">
        <v>6272</v>
      </c>
      <c r="D1521" t="s">
        <v>2780</v>
      </c>
      <c r="E1521" t="s">
        <v>2823</v>
      </c>
      <c r="F1521" t="str">
        <f>"579/668"</f>
        <v>579/668</v>
      </c>
      <c r="G1521" t="s">
        <v>3252</v>
      </c>
      <c r="H1521" t="s">
        <v>6418</v>
      </c>
      <c r="I1521">
        <v>25.32</v>
      </c>
    </row>
    <row r="1522" spans="1:9" ht="12.75">
      <c r="A1522">
        <v>1508</v>
      </c>
      <c r="B1522" t="s">
        <v>6419</v>
      </c>
      <c r="C1522" t="s">
        <v>2886</v>
      </c>
      <c r="D1522" t="s">
        <v>2780</v>
      </c>
      <c r="E1522" t="s">
        <v>2781</v>
      </c>
      <c r="F1522" t="str">
        <f>"316/354"</f>
        <v>316/354</v>
      </c>
      <c r="G1522" t="s">
        <v>795</v>
      </c>
      <c r="H1522" t="s">
        <v>6420</v>
      </c>
      <c r="I1522">
        <v>25.32</v>
      </c>
    </row>
    <row r="1523" spans="1:9" ht="12.75">
      <c r="A1523">
        <v>1509</v>
      </c>
      <c r="B1523" t="s">
        <v>6421</v>
      </c>
      <c r="C1523" t="s">
        <v>54</v>
      </c>
      <c r="D1523" t="s">
        <v>2780</v>
      </c>
      <c r="E1523" t="s">
        <v>2823</v>
      </c>
      <c r="F1523" t="str">
        <f>"580/668"</f>
        <v>580/668</v>
      </c>
      <c r="G1523" t="s">
        <v>6422</v>
      </c>
      <c r="H1523" t="s">
        <v>6423</v>
      </c>
      <c r="I1523">
        <v>25.31</v>
      </c>
    </row>
    <row r="1524" spans="1:9" ht="12.75">
      <c r="A1524">
        <v>1510</v>
      </c>
      <c r="B1524" t="s">
        <v>2261</v>
      </c>
      <c r="C1524" t="s">
        <v>2966</v>
      </c>
      <c r="D1524" t="s">
        <v>2780</v>
      </c>
      <c r="E1524" t="s">
        <v>2823</v>
      </c>
      <c r="F1524" t="str">
        <f>"581/668"</f>
        <v>581/668</v>
      </c>
      <c r="G1524" t="s">
        <v>59</v>
      </c>
      <c r="H1524" t="s">
        <v>6424</v>
      </c>
      <c r="I1524">
        <v>25.31</v>
      </c>
    </row>
    <row r="1525" spans="1:9" ht="12.75">
      <c r="A1525">
        <v>1511</v>
      </c>
      <c r="B1525" t="s">
        <v>6425</v>
      </c>
      <c r="C1525" t="s">
        <v>6426</v>
      </c>
      <c r="D1525" t="s">
        <v>2780</v>
      </c>
      <c r="E1525" t="s">
        <v>2799</v>
      </c>
      <c r="F1525" t="str">
        <f>"84/100"</f>
        <v>84/100</v>
      </c>
      <c r="G1525" t="s">
        <v>59</v>
      </c>
      <c r="H1525" t="s">
        <v>6424</v>
      </c>
      <c r="I1525">
        <v>25.31</v>
      </c>
    </row>
    <row r="1526" spans="1:9" ht="12.75">
      <c r="A1526">
        <v>1512</v>
      </c>
      <c r="B1526" t="s">
        <v>3222</v>
      </c>
      <c r="C1526" t="s">
        <v>6427</v>
      </c>
      <c r="D1526" t="s">
        <v>2780</v>
      </c>
      <c r="E1526" t="s">
        <v>2823</v>
      </c>
      <c r="F1526" t="str">
        <f>"582/668"</f>
        <v>582/668</v>
      </c>
      <c r="G1526" t="s">
        <v>59</v>
      </c>
      <c r="H1526" t="s">
        <v>6428</v>
      </c>
      <c r="I1526">
        <v>25.31</v>
      </c>
    </row>
    <row r="1527" spans="1:9" ht="12.75">
      <c r="A1527">
        <v>1513</v>
      </c>
      <c r="B1527" t="s">
        <v>6429</v>
      </c>
      <c r="C1527" t="s">
        <v>3346</v>
      </c>
      <c r="D1527" t="s">
        <v>2780</v>
      </c>
      <c r="E1527" t="s">
        <v>2823</v>
      </c>
      <c r="F1527" t="str">
        <f>"583/668"</f>
        <v>583/668</v>
      </c>
      <c r="G1527" t="s">
        <v>59</v>
      </c>
      <c r="H1527" t="s">
        <v>6430</v>
      </c>
      <c r="I1527">
        <v>25.31</v>
      </c>
    </row>
    <row r="1528" spans="1:9" ht="12.75">
      <c r="A1528">
        <v>1514</v>
      </c>
      <c r="B1528" t="s">
        <v>2996</v>
      </c>
      <c r="C1528" t="s">
        <v>2857</v>
      </c>
      <c r="D1528" t="s">
        <v>2780</v>
      </c>
      <c r="E1528" t="s">
        <v>2818</v>
      </c>
      <c r="F1528" t="str">
        <f>"309/380"</f>
        <v>309/380</v>
      </c>
      <c r="G1528" t="s">
        <v>59</v>
      </c>
      <c r="H1528" t="s">
        <v>6431</v>
      </c>
      <c r="I1528">
        <v>25.31</v>
      </c>
    </row>
    <row r="1529" spans="1:9" ht="12.75">
      <c r="A1529">
        <v>1515</v>
      </c>
      <c r="B1529" t="s">
        <v>6432</v>
      </c>
      <c r="C1529" t="s">
        <v>2861</v>
      </c>
      <c r="D1529" t="s">
        <v>2780</v>
      </c>
      <c r="E1529" t="s">
        <v>2818</v>
      </c>
      <c r="F1529" t="str">
        <f>"310/380"</f>
        <v>310/380</v>
      </c>
      <c r="G1529" t="s">
        <v>59</v>
      </c>
      <c r="H1529" t="s">
        <v>6433</v>
      </c>
      <c r="I1529">
        <v>25.31</v>
      </c>
    </row>
    <row r="1530" spans="1:9" ht="12.75">
      <c r="A1530">
        <v>1516</v>
      </c>
      <c r="B1530" t="s">
        <v>6434</v>
      </c>
      <c r="C1530" t="s">
        <v>6435</v>
      </c>
      <c r="D1530" t="s">
        <v>2780</v>
      </c>
      <c r="E1530" t="s">
        <v>2799</v>
      </c>
      <c r="F1530" t="str">
        <f>"85/100"</f>
        <v>85/100</v>
      </c>
      <c r="G1530" t="s">
        <v>5509</v>
      </c>
      <c r="H1530" t="s">
        <v>6436</v>
      </c>
      <c r="I1530">
        <v>25.3</v>
      </c>
    </row>
    <row r="1531" spans="1:9" ht="12.75">
      <c r="A1531">
        <v>1517</v>
      </c>
      <c r="B1531" t="s">
        <v>6437</v>
      </c>
      <c r="C1531" t="s">
        <v>3542</v>
      </c>
      <c r="D1531" t="s">
        <v>2780</v>
      </c>
      <c r="E1531" t="s">
        <v>2823</v>
      </c>
      <c r="F1531" t="str">
        <f>"584/668"</f>
        <v>584/668</v>
      </c>
      <c r="G1531" t="s">
        <v>3468</v>
      </c>
      <c r="H1531" t="s">
        <v>6438</v>
      </c>
      <c r="I1531">
        <v>25.29</v>
      </c>
    </row>
    <row r="1532" spans="1:9" ht="12.75">
      <c r="A1532">
        <v>1518</v>
      </c>
      <c r="B1532" t="s">
        <v>6439</v>
      </c>
      <c r="C1532" t="s">
        <v>2807</v>
      </c>
      <c r="D1532" t="s">
        <v>2780</v>
      </c>
      <c r="E1532" t="s">
        <v>2823</v>
      </c>
      <c r="F1532" t="str">
        <f>"585/668"</f>
        <v>585/668</v>
      </c>
      <c r="G1532" t="s">
        <v>795</v>
      </c>
      <c r="H1532" t="s">
        <v>6440</v>
      </c>
      <c r="I1532">
        <v>25.28</v>
      </c>
    </row>
    <row r="1533" spans="1:9" ht="12.75">
      <c r="A1533">
        <v>1519</v>
      </c>
      <c r="B1533" t="s">
        <v>6441</v>
      </c>
      <c r="C1533" t="s">
        <v>5387</v>
      </c>
      <c r="D1533" t="s">
        <v>2780</v>
      </c>
      <c r="E1533" t="s">
        <v>2818</v>
      </c>
      <c r="F1533" t="str">
        <f>"311/380"</f>
        <v>311/380</v>
      </c>
      <c r="G1533" t="s">
        <v>59</v>
      </c>
      <c r="H1533" t="s">
        <v>6442</v>
      </c>
      <c r="I1533">
        <v>25.27</v>
      </c>
    </row>
    <row r="1534" spans="1:9" ht="12.75">
      <c r="A1534">
        <v>1520</v>
      </c>
      <c r="B1534" t="s">
        <v>6443</v>
      </c>
      <c r="C1534" t="s">
        <v>2861</v>
      </c>
      <c r="D1534" t="s">
        <v>2780</v>
      </c>
      <c r="E1534" t="s">
        <v>2823</v>
      </c>
      <c r="F1534" t="str">
        <f>"586/668"</f>
        <v>586/668</v>
      </c>
      <c r="G1534" t="s">
        <v>1145</v>
      </c>
      <c r="H1534" t="s">
        <v>6444</v>
      </c>
      <c r="I1534">
        <v>25.27</v>
      </c>
    </row>
    <row r="1535" spans="1:9" ht="12.75">
      <c r="A1535">
        <v>1521</v>
      </c>
      <c r="B1535" t="s">
        <v>6445</v>
      </c>
      <c r="C1535" t="s">
        <v>2865</v>
      </c>
      <c r="D1535" t="s">
        <v>2780</v>
      </c>
      <c r="E1535" t="s">
        <v>2818</v>
      </c>
      <c r="F1535" t="str">
        <f>"312/380"</f>
        <v>312/380</v>
      </c>
      <c r="G1535" t="s">
        <v>1145</v>
      </c>
      <c r="H1535" t="s">
        <v>6446</v>
      </c>
      <c r="I1535">
        <v>25.26</v>
      </c>
    </row>
    <row r="1536" spans="1:9" ht="12.75">
      <c r="A1536">
        <v>1522</v>
      </c>
      <c r="B1536" t="s">
        <v>6447</v>
      </c>
      <c r="C1536" t="s">
        <v>3057</v>
      </c>
      <c r="D1536" t="s">
        <v>2780</v>
      </c>
      <c r="E1536" t="s">
        <v>2823</v>
      </c>
      <c r="F1536" t="str">
        <f>"587/668"</f>
        <v>587/668</v>
      </c>
      <c r="G1536" t="s">
        <v>3516</v>
      </c>
      <c r="H1536" t="s">
        <v>6448</v>
      </c>
      <c r="I1536">
        <v>25.26</v>
      </c>
    </row>
    <row r="1537" spans="1:9" ht="12.75">
      <c r="A1537">
        <v>1523</v>
      </c>
      <c r="B1537" t="s">
        <v>3452</v>
      </c>
      <c r="C1537" t="s">
        <v>6449</v>
      </c>
      <c r="D1537" t="s">
        <v>2780</v>
      </c>
      <c r="E1537" t="s">
        <v>2781</v>
      </c>
      <c r="F1537" t="str">
        <f>"317/354"</f>
        <v>317/354</v>
      </c>
      <c r="G1537" t="s">
        <v>3516</v>
      </c>
      <c r="H1537" t="s">
        <v>6450</v>
      </c>
      <c r="I1537">
        <v>25.26</v>
      </c>
    </row>
    <row r="1538" spans="1:9" ht="12.75">
      <c r="A1538">
        <v>1524</v>
      </c>
      <c r="B1538" t="s">
        <v>4366</v>
      </c>
      <c r="C1538" t="s">
        <v>2865</v>
      </c>
      <c r="D1538" t="s">
        <v>2780</v>
      </c>
      <c r="E1538" t="s">
        <v>2786</v>
      </c>
      <c r="F1538" t="str">
        <f>"40/44"</f>
        <v>40/44</v>
      </c>
      <c r="G1538" t="s">
        <v>1086</v>
      </c>
      <c r="H1538" t="s">
        <v>6451</v>
      </c>
      <c r="I1538">
        <v>25.26</v>
      </c>
    </row>
    <row r="1539" spans="1:9" ht="12.75">
      <c r="A1539">
        <v>1525</v>
      </c>
      <c r="B1539" t="s">
        <v>6452</v>
      </c>
      <c r="C1539" t="s">
        <v>3174</v>
      </c>
      <c r="D1539" t="s">
        <v>2780</v>
      </c>
      <c r="E1539" t="s">
        <v>2823</v>
      </c>
      <c r="F1539" t="str">
        <f>"588/668"</f>
        <v>588/668</v>
      </c>
      <c r="G1539" t="s">
        <v>1145</v>
      </c>
      <c r="H1539" t="s">
        <v>6453</v>
      </c>
      <c r="I1539">
        <v>25.25</v>
      </c>
    </row>
    <row r="1540" spans="1:9" ht="12.75">
      <c r="A1540">
        <v>1526</v>
      </c>
      <c r="B1540" t="s">
        <v>6454</v>
      </c>
      <c r="C1540" t="s">
        <v>2814</v>
      </c>
      <c r="D1540" t="s">
        <v>2780</v>
      </c>
      <c r="E1540" t="s">
        <v>2823</v>
      </c>
      <c r="F1540" t="str">
        <f>"589/668"</f>
        <v>589/668</v>
      </c>
      <c r="G1540" t="s">
        <v>1086</v>
      </c>
      <c r="H1540" t="s">
        <v>6455</v>
      </c>
      <c r="I1540">
        <v>25.25</v>
      </c>
    </row>
    <row r="1541" spans="1:9" ht="12.75">
      <c r="A1541">
        <v>1527</v>
      </c>
      <c r="B1541" t="s">
        <v>6456</v>
      </c>
      <c r="D1541" t="s">
        <v>2780</v>
      </c>
      <c r="E1541" t="s">
        <v>2923</v>
      </c>
      <c r="F1541" t="str">
        <f>"5/5"</f>
        <v>5/5</v>
      </c>
      <c r="H1541" t="s">
        <v>6457</v>
      </c>
      <c r="I1541">
        <v>25.23</v>
      </c>
    </row>
    <row r="1542" spans="1:9" ht="12.75">
      <c r="A1542">
        <v>1528</v>
      </c>
      <c r="B1542" t="s">
        <v>6458</v>
      </c>
      <c r="C1542" t="s">
        <v>2840</v>
      </c>
      <c r="D1542" t="s">
        <v>2780</v>
      </c>
      <c r="E1542" t="s">
        <v>2973</v>
      </c>
      <c r="F1542" t="str">
        <f>"103/147"</f>
        <v>103/147</v>
      </c>
      <c r="G1542" t="s">
        <v>3315</v>
      </c>
      <c r="H1542" t="s">
        <v>6459</v>
      </c>
      <c r="I1542">
        <v>25.23</v>
      </c>
    </row>
    <row r="1543" spans="1:9" ht="12.75">
      <c r="A1543">
        <v>1529</v>
      </c>
      <c r="B1543" t="s">
        <v>2057</v>
      </c>
      <c r="C1543" t="s">
        <v>3213</v>
      </c>
      <c r="D1543" t="s">
        <v>2780</v>
      </c>
      <c r="E1543" t="s">
        <v>2781</v>
      </c>
      <c r="F1543" t="str">
        <f>"318/354"</f>
        <v>318/354</v>
      </c>
      <c r="G1543" t="s">
        <v>1086</v>
      </c>
      <c r="H1543" t="s">
        <v>6460</v>
      </c>
      <c r="I1543">
        <v>25.23</v>
      </c>
    </row>
    <row r="1544" spans="1:9" ht="12.75">
      <c r="A1544">
        <v>1530</v>
      </c>
      <c r="B1544" t="s">
        <v>6461</v>
      </c>
      <c r="C1544" t="s">
        <v>2836</v>
      </c>
      <c r="D1544" t="s">
        <v>2780</v>
      </c>
      <c r="E1544" t="s">
        <v>2823</v>
      </c>
      <c r="F1544" t="str">
        <f>"590/668"</f>
        <v>590/668</v>
      </c>
      <c r="G1544" t="s">
        <v>3315</v>
      </c>
      <c r="H1544" t="s">
        <v>6462</v>
      </c>
      <c r="I1544">
        <v>25.23</v>
      </c>
    </row>
    <row r="1545" spans="1:9" ht="12.75">
      <c r="A1545">
        <v>1531</v>
      </c>
      <c r="B1545" t="s">
        <v>6463</v>
      </c>
      <c r="C1545" t="s">
        <v>3318</v>
      </c>
      <c r="D1545" t="s">
        <v>2780</v>
      </c>
      <c r="E1545" t="s">
        <v>2973</v>
      </c>
      <c r="F1545" t="str">
        <f>"104/147"</f>
        <v>104/147</v>
      </c>
      <c r="G1545" t="s">
        <v>3315</v>
      </c>
      <c r="H1545" t="s">
        <v>6464</v>
      </c>
      <c r="I1545">
        <v>25.23</v>
      </c>
    </row>
    <row r="1546" spans="1:9" ht="12.75">
      <c r="A1546">
        <v>1532</v>
      </c>
      <c r="B1546" t="s">
        <v>5051</v>
      </c>
      <c r="C1546" t="s">
        <v>2814</v>
      </c>
      <c r="D1546" t="s">
        <v>2780</v>
      </c>
      <c r="E1546" t="s">
        <v>2823</v>
      </c>
      <c r="F1546" t="str">
        <f>"591/668"</f>
        <v>591/668</v>
      </c>
      <c r="G1546" t="s">
        <v>6233</v>
      </c>
      <c r="H1546" t="s">
        <v>6465</v>
      </c>
      <c r="I1546">
        <v>25.23</v>
      </c>
    </row>
    <row r="1547" spans="1:9" ht="12.75">
      <c r="A1547">
        <v>1533</v>
      </c>
      <c r="B1547" t="s">
        <v>6466</v>
      </c>
      <c r="C1547" t="s">
        <v>2865</v>
      </c>
      <c r="D1547" t="s">
        <v>2780</v>
      </c>
      <c r="E1547" t="s">
        <v>2818</v>
      </c>
      <c r="F1547" t="str">
        <f>"313/380"</f>
        <v>313/380</v>
      </c>
      <c r="G1547" t="s">
        <v>4720</v>
      </c>
      <c r="H1547" t="s">
        <v>6467</v>
      </c>
      <c r="I1547">
        <v>25.22</v>
      </c>
    </row>
    <row r="1548" spans="1:9" ht="12.75">
      <c r="A1548">
        <v>1534</v>
      </c>
      <c r="B1548" t="s">
        <v>6468</v>
      </c>
      <c r="C1548" t="s">
        <v>2785</v>
      </c>
      <c r="D1548" t="s">
        <v>2780</v>
      </c>
      <c r="E1548" t="s">
        <v>2823</v>
      </c>
      <c r="F1548" t="str">
        <f>"592/668"</f>
        <v>592/668</v>
      </c>
      <c r="G1548" t="s">
        <v>59</v>
      </c>
      <c r="H1548" t="s">
        <v>6469</v>
      </c>
      <c r="I1548">
        <v>25.21</v>
      </c>
    </row>
    <row r="1549" spans="1:9" ht="12.75">
      <c r="A1549">
        <v>1535</v>
      </c>
      <c r="B1549" t="s">
        <v>6470</v>
      </c>
      <c r="C1549" t="s">
        <v>2814</v>
      </c>
      <c r="D1549" t="s">
        <v>2780</v>
      </c>
      <c r="E1549" t="s">
        <v>2799</v>
      </c>
      <c r="F1549" t="str">
        <f>"86/100"</f>
        <v>86/100</v>
      </c>
      <c r="G1549" t="s">
        <v>6471</v>
      </c>
      <c r="H1549" t="s">
        <v>6472</v>
      </c>
      <c r="I1549">
        <v>25.19</v>
      </c>
    </row>
    <row r="1550" spans="1:9" ht="12.75">
      <c r="A1550">
        <v>1536</v>
      </c>
      <c r="B1550" t="s">
        <v>7730</v>
      </c>
      <c r="C1550" t="s">
        <v>615</v>
      </c>
      <c r="D1550" t="s">
        <v>2780</v>
      </c>
      <c r="E1550" t="s">
        <v>2818</v>
      </c>
      <c r="F1550" t="str">
        <f>"314/380"</f>
        <v>314/380</v>
      </c>
      <c r="G1550" t="s">
        <v>0</v>
      </c>
      <c r="H1550" t="s">
        <v>6473</v>
      </c>
      <c r="I1550">
        <v>25.19</v>
      </c>
    </row>
    <row r="1551" spans="1:9" ht="12.75">
      <c r="A1551">
        <v>1537</v>
      </c>
      <c r="B1551" t="s">
        <v>6474</v>
      </c>
      <c r="C1551" t="s">
        <v>353</v>
      </c>
      <c r="D1551" t="s">
        <v>2780</v>
      </c>
      <c r="E1551" t="s">
        <v>2823</v>
      </c>
      <c r="F1551" t="str">
        <f>"593/668"</f>
        <v>593/668</v>
      </c>
      <c r="G1551" t="s">
        <v>2306</v>
      </c>
      <c r="H1551" t="s">
        <v>6475</v>
      </c>
      <c r="I1551">
        <v>25.18</v>
      </c>
    </row>
    <row r="1552" spans="1:9" ht="12.75">
      <c r="A1552">
        <v>1538</v>
      </c>
      <c r="B1552" t="s">
        <v>6476</v>
      </c>
      <c r="C1552" t="s">
        <v>2857</v>
      </c>
      <c r="D1552" t="s">
        <v>2780</v>
      </c>
      <c r="E1552" t="s">
        <v>2823</v>
      </c>
      <c r="F1552" t="str">
        <f>"594/668"</f>
        <v>594/668</v>
      </c>
      <c r="G1552" t="s">
        <v>4730</v>
      </c>
      <c r="H1552" t="s">
        <v>6477</v>
      </c>
      <c r="I1552">
        <v>25.18</v>
      </c>
    </row>
    <row r="1553" spans="1:9" ht="12.75">
      <c r="A1553">
        <v>1539</v>
      </c>
      <c r="B1553" t="s">
        <v>6478</v>
      </c>
      <c r="C1553" t="s">
        <v>6479</v>
      </c>
      <c r="D1553" t="s">
        <v>2780</v>
      </c>
      <c r="E1553" t="s">
        <v>2818</v>
      </c>
      <c r="F1553" t="str">
        <f>"315/380"</f>
        <v>315/380</v>
      </c>
      <c r="G1553" t="s">
        <v>2917</v>
      </c>
      <c r="H1553" t="s">
        <v>6480</v>
      </c>
      <c r="I1553">
        <v>25.17</v>
      </c>
    </row>
    <row r="1554" spans="1:9" ht="12.75">
      <c r="A1554">
        <v>1540</v>
      </c>
      <c r="B1554" t="s">
        <v>6481</v>
      </c>
      <c r="C1554" t="s">
        <v>3387</v>
      </c>
      <c r="D1554" t="s">
        <v>2780</v>
      </c>
      <c r="E1554" t="s">
        <v>2823</v>
      </c>
      <c r="F1554" t="str">
        <f>"595/668"</f>
        <v>595/668</v>
      </c>
      <c r="G1554" t="s">
        <v>6482</v>
      </c>
      <c r="H1554" t="s">
        <v>6483</v>
      </c>
      <c r="I1554">
        <v>25.17</v>
      </c>
    </row>
    <row r="1555" spans="1:9" ht="12.75">
      <c r="A1555">
        <v>1541</v>
      </c>
      <c r="B1555" t="s">
        <v>23</v>
      </c>
      <c r="C1555" t="s">
        <v>4894</v>
      </c>
      <c r="D1555" t="s">
        <v>2780</v>
      </c>
      <c r="E1555" t="s">
        <v>2818</v>
      </c>
      <c r="F1555" t="str">
        <f>"316/380"</f>
        <v>316/380</v>
      </c>
      <c r="G1555" t="s">
        <v>6484</v>
      </c>
      <c r="H1555" t="s">
        <v>6485</v>
      </c>
      <c r="I1555">
        <v>25.17</v>
      </c>
    </row>
    <row r="1556" spans="1:9" ht="12.75">
      <c r="A1556">
        <v>1542</v>
      </c>
      <c r="B1556" t="s">
        <v>2505</v>
      </c>
      <c r="C1556" t="s">
        <v>2865</v>
      </c>
      <c r="D1556" t="s">
        <v>2780</v>
      </c>
      <c r="E1556" t="s">
        <v>2973</v>
      </c>
      <c r="F1556" t="str">
        <f>"105/147"</f>
        <v>105/147</v>
      </c>
      <c r="G1556" t="s">
        <v>3206</v>
      </c>
      <c r="H1556" t="s">
        <v>6486</v>
      </c>
      <c r="I1556">
        <v>25.17</v>
      </c>
    </row>
    <row r="1557" spans="1:9" ht="12.75">
      <c r="A1557">
        <v>1543</v>
      </c>
      <c r="B1557" t="s">
        <v>6487</v>
      </c>
      <c r="C1557" t="s">
        <v>2807</v>
      </c>
      <c r="D1557" t="s">
        <v>2780</v>
      </c>
      <c r="E1557" t="s">
        <v>2818</v>
      </c>
      <c r="F1557" t="str">
        <f>"317/380"</f>
        <v>317/380</v>
      </c>
      <c r="G1557" t="s">
        <v>1145</v>
      </c>
      <c r="H1557" t="s">
        <v>6488</v>
      </c>
      <c r="I1557">
        <v>25.17</v>
      </c>
    </row>
    <row r="1558" spans="1:9" ht="12.75">
      <c r="A1558">
        <v>1544</v>
      </c>
      <c r="B1558" t="s">
        <v>6489</v>
      </c>
      <c r="C1558" t="s">
        <v>3213</v>
      </c>
      <c r="D1558" t="s">
        <v>2780</v>
      </c>
      <c r="E1558" t="s">
        <v>2823</v>
      </c>
      <c r="F1558" t="str">
        <f>"596/668"</f>
        <v>596/668</v>
      </c>
      <c r="G1558" t="s">
        <v>1780</v>
      </c>
      <c r="H1558" t="s">
        <v>6490</v>
      </c>
      <c r="I1558">
        <v>25.15</v>
      </c>
    </row>
    <row r="1559" spans="1:9" ht="12.75">
      <c r="A1559">
        <v>1545</v>
      </c>
      <c r="B1559" t="s">
        <v>6491</v>
      </c>
      <c r="C1559" t="s">
        <v>2865</v>
      </c>
      <c r="D1559" t="s">
        <v>2780</v>
      </c>
      <c r="E1559" t="s">
        <v>2973</v>
      </c>
      <c r="F1559" t="str">
        <f>"106/147"</f>
        <v>106/147</v>
      </c>
      <c r="G1559" t="s">
        <v>2889</v>
      </c>
      <c r="H1559" t="s">
        <v>6492</v>
      </c>
      <c r="I1559">
        <v>25.14</v>
      </c>
    </row>
    <row r="1560" spans="1:9" ht="12.75">
      <c r="A1560">
        <v>1546</v>
      </c>
      <c r="B1560" t="s">
        <v>1155</v>
      </c>
      <c r="C1560" t="s">
        <v>2991</v>
      </c>
      <c r="D1560" t="s">
        <v>2780</v>
      </c>
      <c r="E1560" t="s">
        <v>2973</v>
      </c>
      <c r="F1560" t="str">
        <f>"107/147"</f>
        <v>107/147</v>
      </c>
      <c r="G1560" t="s">
        <v>3206</v>
      </c>
      <c r="H1560" t="s">
        <v>6493</v>
      </c>
      <c r="I1560">
        <v>25.13</v>
      </c>
    </row>
    <row r="1561" spans="1:9" ht="12.75">
      <c r="A1561">
        <v>1547</v>
      </c>
      <c r="B1561" t="s">
        <v>6494</v>
      </c>
      <c r="C1561" t="s">
        <v>2865</v>
      </c>
      <c r="D1561" t="s">
        <v>2780</v>
      </c>
      <c r="E1561" t="s">
        <v>2823</v>
      </c>
      <c r="F1561" t="str">
        <f>"597/668"</f>
        <v>597/668</v>
      </c>
      <c r="G1561" t="s">
        <v>3217</v>
      </c>
      <c r="H1561" t="s">
        <v>6495</v>
      </c>
      <c r="I1561">
        <v>25.13</v>
      </c>
    </row>
    <row r="1562" spans="1:9" ht="12.75">
      <c r="A1562">
        <v>1548</v>
      </c>
      <c r="B1562" t="s">
        <v>5204</v>
      </c>
      <c r="C1562" t="s">
        <v>2886</v>
      </c>
      <c r="D1562" t="s">
        <v>2780</v>
      </c>
      <c r="E1562" t="s">
        <v>2781</v>
      </c>
      <c r="F1562" t="str">
        <f>"319/354"</f>
        <v>319/354</v>
      </c>
      <c r="G1562" t="s">
        <v>5389</v>
      </c>
      <c r="H1562" t="s">
        <v>6496</v>
      </c>
      <c r="I1562">
        <v>25.12</v>
      </c>
    </row>
    <row r="1563" spans="1:9" ht="12.75">
      <c r="A1563">
        <v>1549</v>
      </c>
      <c r="B1563" t="s">
        <v>6497</v>
      </c>
      <c r="C1563" t="s">
        <v>5593</v>
      </c>
      <c r="D1563" t="s">
        <v>2780</v>
      </c>
      <c r="E1563" t="s">
        <v>2973</v>
      </c>
      <c r="F1563" t="str">
        <f>"108/147"</f>
        <v>108/147</v>
      </c>
      <c r="G1563" t="s">
        <v>6498</v>
      </c>
      <c r="H1563" t="s">
        <v>6499</v>
      </c>
      <c r="I1563">
        <v>25.12</v>
      </c>
    </row>
    <row r="1564" spans="1:9" ht="12.75">
      <c r="A1564">
        <v>1550</v>
      </c>
      <c r="B1564" t="s">
        <v>6500</v>
      </c>
      <c r="C1564" t="s">
        <v>2836</v>
      </c>
      <c r="D1564" t="s">
        <v>2780</v>
      </c>
      <c r="E1564" t="s">
        <v>2781</v>
      </c>
      <c r="F1564" t="str">
        <f>"320/354"</f>
        <v>320/354</v>
      </c>
      <c r="G1564" t="s">
        <v>59</v>
      </c>
      <c r="H1564" t="s">
        <v>6501</v>
      </c>
      <c r="I1564">
        <v>25.1</v>
      </c>
    </row>
    <row r="1565" spans="1:9" ht="12.75">
      <c r="A1565">
        <v>1551</v>
      </c>
      <c r="B1565" t="s">
        <v>6502</v>
      </c>
      <c r="C1565" t="s">
        <v>3471</v>
      </c>
      <c r="D1565" t="s">
        <v>2780</v>
      </c>
      <c r="E1565" t="s">
        <v>2973</v>
      </c>
      <c r="F1565" t="str">
        <f>"109/147"</f>
        <v>109/147</v>
      </c>
      <c r="G1565" t="s">
        <v>7765</v>
      </c>
      <c r="H1565" t="s">
        <v>6503</v>
      </c>
      <c r="I1565">
        <v>25.1</v>
      </c>
    </row>
    <row r="1566" spans="1:9" ht="12.75">
      <c r="A1566">
        <v>1552</v>
      </c>
      <c r="B1566" t="s">
        <v>3311</v>
      </c>
      <c r="C1566" t="s">
        <v>4737</v>
      </c>
      <c r="D1566" t="s">
        <v>2780</v>
      </c>
      <c r="E1566" t="s">
        <v>2973</v>
      </c>
      <c r="F1566" t="str">
        <f>"110/147"</f>
        <v>110/147</v>
      </c>
      <c r="G1566" t="s">
        <v>377</v>
      </c>
      <c r="H1566" t="s">
        <v>6504</v>
      </c>
      <c r="I1566">
        <v>25.08</v>
      </c>
    </row>
    <row r="1567" spans="1:9" ht="12.75">
      <c r="A1567">
        <v>1553</v>
      </c>
      <c r="B1567" t="s">
        <v>6505</v>
      </c>
      <c r="C1567" t="s">
        <v>4615</v>
      </c>
      <c r="D1567" t="s">
        <v>2780</v>
      </c>
      <c r="E1567" t="s">
        <v>2823</v>
      </c>
      <c r="F1567" t="str">
        <f>"598/668"</f>
        <v>598/668</v>
      </c>
      <c r="G1567" t="s">
        <v>6471</v>
      </c>
      <c r="H1567" t="s">
        <v>6506</v>
      </c>
      <c r="I1567">
        <v>25.07</v>
      </c>
    </row>
    <row r="1568" spans="1:9" ht="12.75">
      <c r="A1568">
        <v>1554</v>
      </c>
      <c r="B1568" t="s">
        <v>6507</v>
      </c>
      <c r="C1568" t="s">
        <v>3346</v>
      </c>
      <c r="D1568" t="s">
        <v>2780</v>
      </c>
      <c r="E1568" t="s">
        <v>2786</v>
      </c>
      <c r="F1568" t="str">
        <f>"41/44"</f>
        <v>41/44</v>
      </c>
      <c r="G1568" t="s">
        <v>6471</v>
      </c>
      <c r="H1568" t="s">
        <v>6508</v>
      </c>
      <c r="I1568">
        <v>25.07</v>
      </c>
    </row>
    <row r="1569" spans="1:9" ht="12.75">
      <c r="A1569">
        <v>1555</v>
      </c>
      <c r="B1569" t="s">
        <v>6509</v>
      </c>
      <c r="C1569" t="s">
        <v>3286</v>
      </c>
      <c r="D1569" t="s">
        <v>2780</v>
      </c>
      <c r="E1569" t="s">
        <v>2823</v>
      </c>
      <c r="F1569" t="str">
        <f>"599/668"</f>
        <v>599/668</v>
      </c>
      <c r="G1569" t="s">
        <v>6510</v>
      </c>
      <c r="H1569" t="s">
        <v>6511</v>
      </c>
      <c r="I1569">
        <v>25.05</v>
      </c>
    </row>
    <row r="1570" spans="1:9" ht="12.75">
      <c r="A1570">
        <v>1556</v>
      </c>
      <c r="B1570" t="s">
        <v>6512</v>
      </c>
      <c r="C1570" t="s">
        <v>43</v>
      </c>
      <c r="D1570" t="s">
        <v>2780</v>
      </c>
      <c r="E1570" t="s">
        <v>2823</v>
      </c>
      <c r="F1570" t="str">
        <f>"600/668"</f>
        <v>600/668</v>
      </c>
      <c r="G1570" t="s">
        <v>6510</v>
      </c>
      <c r="H1570" t="s">
        <v>6513</v>
      </c>
      <c r="I1570">
        <v>25.05</v>
      </c>
    </row>
    <row r="1571" spans="1:9" ht="12.75">
      <c r="A1571">
        <v>1557</v>
      </c>
      <c r="B1571" t="s">
        <v>6514</v>
      </c>
      <c r="C1571" t="s">
        <v>335</v>
      </c>
      <c r="D1571" t="s">
        <v>2780</v>
      </c>
      <c r="E1571" t="s">
        <v>2818</v>
      </c>
      <c r="F1571" t="str">
        <f>"318/380"</f>
        <v>318/380</v>
      </c>
      <c r="G1571" t="s">
        <v>7135</v>
      </c>
      <c r="H1571" t="s">
        <v>6515</v>
      </c>
      <c r="I1571">
        <v>25.03</v>
      </c>
    </row>
    <row r="1572" spans="1:9" ht="12.75">
      <c r="A1572">
        <v>1558</v>
      </c>
      <c r="B1572" t="s">
        <v>6516</v>
      </c>
      <c r="C1572" t="s">
        <v>2817</v>
      </c>
      <c r="D1572" t="s">
        <v>2780</v>
      </c>
      <c r="E1572" t="s">
        <v>2823</v>
      </c>
      <c r="F1572" t="str">
        <f>"601/668"</f>
        <v>601/668</v>
      </c>
      <c r="G1572" t="s">
        <v>6517</v>
      </c>
      <c r="H1572" t="s">
        <v>6518</v>
      </c>
      <c r="I1572">
        <v>25.02</v>
      </c>
    </row>
    <row r="1573" spans="1:9" ht="12.75">
      <c r="A1573">
        <v>1559</v>
      </c>
      <c r="B1573" t="s">
        <v>7722</v>
      </c>
      <c r="C1573" t="s">
        <v>2807</v>
      </c>
      <c r="D1573" t="s">
        <v>2780</v>
      </c>
      <c r="E1573" t="s">
        <v>2799</v>
      </c>
      <c r="F1573" t="str">
        <f>"87/100"</f>
        <v>87/100</v>
      </c>
      <c r="G1573" t="s">
        <v>2262</v>
      </c>
      <c r="H1573" t="s">
        <v>6519</v>
      </c>
      <c r="I1573">
        <v>25</v>
      </c>
    </row>
    <row r="1574" spans="1:9" ht="12.75">
      <c r="A1574">
        <v>1560</v>
      </c>
      <c r="B1574" t="s">
        <v>3120</v>
      </c>
      <c r="C1574" t="s">
        <v>4749</v>
      </c>
      <c r="D1574" t="s">
        <v>2780</v>
      </c>
      <c r="E1574" t="s">
        <v>2823</v>
      </c>
      <c r="F1574" t="str">
        <f>"602/668"</f>
        <v>602/668</v>
      </c>
      <c r="G1574" t="s">
        <v>3468</v>
      </c>
      <c r="H1574" t="s">
        <v>6520</v>
      </c>
      <c r="I1574">
        <v>24.98</v>
      </c>
    </row>
    <row r="1575" spans="1:9" ht="12.75">
      <c r="A1575">
        <v>1561</v>
      </c>
      <c r="B1575" t="s">
        <v>6521</v>
      </c>
      <c r="C1575" t="s">
        <v>2830</v>
      </c>
      <c r="D1575" t="s">
        <v>2780</v>
      </c>
      <c r="E1575" t="s">
        <v>2781</v>
      </c>
      <c r="F1575" t="str">
        <f>"321/354"</f>
        <v>321/354</v>
      </c>
      <c r="G1575" t="s">
        <v>3217</v>
      </c>
      <c r="H1575" t="s">
        <v>6522</v>
      </c>
      <c r="I1575">
        <v>24.98</v>
      </c>
    </row>
    <row r="1576" spans="1:9" ht="12.75">
      <c r="A1576">
        <v>1562</v>
      </c>
      <c r="B1576" t="s">
        <v>6523</v>
      </c>
      <c r="C1576" t="s">
        <v>2807</v>
      </c>
      <c r="D1576" t="s">
        <v>2780</v>
      </c>
      <c r="E1576" t="s">
        <v>2786</v>
      </c>
      <c r="F1576" t="str">
        <f>"42/44"</f>
        <v>42/44</v>
      </c>
      <c r="G1576" t="s">
        <v>4954</v>
      </c>
      <c r="H1576" t="s">
        <v>6524</v>
      </c>
      <c r="I1576">
        <v>24.97</v>
      </c>
    </row>
    <row r="1577" spans="1:9" ht="12.75">
      <c r="A1577">
        <v>1563</v>
      </c>
      <c r="B1577" t="s">
        <v>6525</v>
      </c>
      <c r="C1577" t="s">
        <v>84</v>
      </c>
      <c r="D1577" t="s">
        <v>2780</v>
      </c>
      <c r="E1577" t="s">
        <v>2973</v>
      </c>
      <c r="F1577" t="str">
        <f>"111/147"</f>
        <v>111/147</v>
      </c>
      <c r="G1577" t="s">
        <v>1776</v>
      </c>
      <c r="H1577" t="s">
        <v>6526</v>
      </c>
      <c r="I1577">
        <v>24.94</v>
      </c>
    </row>
    <row r="1578" spans="1:9" ht="12.75">
      <c r="A1578">
        <v>1564</v>
      </c>
      <c r="B1578" t="s">
        <v>7260</v>
      </c>
      <c r="C1578" t="s">
        <v>3057</v>
      </c>
      <c r="D1578" t="s">
        <v>2780</v>
      </c>
      <c r="E1578" t="s">
        <v>2823</v>
      </c>
      <c r="F1578" t="str">
        <f>"603/668"</f>
        <v>603/668</v>
      </c>
      <c r="G1578" t="s">
        <v>3338</v>
      </c>
      <c r="H1578" t="s">
        <v>6527</v>
      </c>
      <c r="I1578">
        <v>24.93</v>
      </c>
    </row>
    <row r="1579" spans="1:9" ht="12.75">
      <c r="A1579">
        <v>1565</v>
      </c>
      <c r="B1579" t="s">
        <v>6528</v>
      </c>
      <c r="C1579" t="s">
        <v>3141</v>
      </c>
      <c r="D1579" t="s">
        <v>2780</v>
      </c>
      <c r="E1579" t="s">
        <v>2823</v>
      </c>
      <c r="F1579" t="str">
        <f>"604/668"</f>
        <v>604/668</v>
      </c>
      <c r="G1579" t="s">
        <v>6529</v>
      </c>
      <c r="H1579" t="s">
        <v>6530</v>
      </c>
      <c r="I1579">
        <v>24.93</v>
      </c>
    </row>
    <row r="1580" spans="1:9" ht="12.75">
      <c r="A1580">
        <v>1566</v>
      </c>
      <c r="B1580" t="s">
        <v>5853</v>
      </c>
      <c r="C1580" t="s">
        <v>2857</v>
      </c>
      <c r="D1580" t="s">
        <v>2780</v>
      </c>
      <c r="E1580" t="s">
        <v>2818</v>
      </c>
      <c r="F1580" t="str">
        <f>"319/380"</f>
        <v>319/380</v>
      </c>
      <c r="G1580" t="s">
        <v>5241</v>
      </c>
      <c r="H1580" t="s">
        <v>6531</v>
      </c>
      <c r="I1580">
        <v>24.92</v>
      </c>
    </row>
    <row r="1581" spans="1:9" ht="12.75">
      <c r="A1581">
        <v>1567</v>
      </c>
      <c r="B1581" t="s">
        <v>6532</v>
      </c>
      <c r="C1581" t="s">
        <v>488</v>
      </c>
      <c r="D1581" t="s">
        <v>3031</v>
      </c>
      <c r="E1581" t="s">
        <v>3032</v>
      </c>
      <c r="F1581" t="str">
        <f>"20/25"</f>
        <v>20/25</v>
      </c>
      <c r="G1581" t="s">
        <v>2045</v>
      </c>
      <c r="H1581" t="s">
        <v>6533</v>
      </c>
      <c r="I1581">
        <v>24.91</v>
      </c>
    </row>
    <row r="1582" spans="1:9" ht="12.75">
      <c r="A1582">
        <v>1568</v>
      </c>
      <c r="B1582" t="s">
        <v>6534</v>
      </c>
      <c r="C1582" t="s">
        <v>2963</v>
      </c>
      <c r="D1582" t="s">
        <v>2780</v>
      </c>
      <c r="E1582" t="s">
        <v>2781</v>
      </c>
      <c r="F1582" t="str">
        <f>"322/354"</f>
        <v>322/354</v>
      </c>
      <c r="G1582" t="s">
        <v>6535</v>
      </c>
      <c r="H1582" t="s">
        <v>6536</v>
      </c>
      <c r="I1582">
        <v>24.9</v>
      </c>
    </row>
    <row r="1583" spans="1:9" ht="12.75">
      <c r="A1583">
        <v>1569</v>
      </c>
      <c r="B1583" t="s">
        <v>6537</v>
      </c>
      <c r="C1583" t="s">
        <v>3164</v>
      </c>
      <c r="D1583" t="s">
        <v>2780</v>
      </c>
      <c r="E1583" t="s">
        <v>2823</v>
      </c>
      <c r="F1583" t="str">
        <f>"605/668"</f>
        <v>605/668</v>
      </c>
      <c r="G1583" t="s">
        <v>369</v>
      </c>
      <c r="H1583" t="s">
        <v>6538</v>
      </c>
      <c r="I1583">
        <v>24.9</v>
      </c>
    </row>
    <row r="1584" spans="1:9" ht="12.75">
      <c r="A1584">
        <v>1570</v>
      </c>
      <c r="B1584" t="s">
        <v>5233</v>
      </c>
      <c r="C1584" t="s">
        <v>3421</v>
      </c>
      <c r="D1584" t="s">
        <v>2780</v>
      </c>
      <c r="E1584" t="s">
        <v>2823</v>
      </c>
      <c r="F1584" t="str">
        <f>"606/668"</f>
        <v>606/668</v>
      </c>
      <c r="G1584" t="s">
        <v>59</v>
      </c>
      <c r="H1584" t="s">
        <v>6539</v>
      </c>
      <c r="I1584">
        <v>24.89</v>
      </c>
    </row>
    <row r="1585" spans="1:9" ht="12.75">
      <c r="A1585">
        <v>1571</v>
      </c>
      <c r="B1585" t="s">
        <v>2484</v>
      </c>
      <c r="C1585" t="s">
        <v>3346</v>
      </c>
      <c r="D1585" t="s">
        <v>2780</v>
      </c>
      <c r="E1585" t="s">
        <v>2818</v>
      </c>
      <c r="F1585" t="str">
        <f>"320/380"</f>
        <v>320/380</v>
      </c>
      <c r="G1585" t="s">
        <v>57</v>
      </c>
      <c r="H1585" t="s">
        <v>6540</v>
      </c>
      <c r="I1585">
        <v>24.89</v>
      </c>
    </row>
    <row r="1586" spans="1:9" ht="12.75">
      <c r="A1586">
        <v>1572</v>
      </c>
      <c r="B1586" t="s">
        <v>6541</v>
      </c>
      <c r="C1586" t="s">
        <v>5304</v>
      </c>
      <c r="D1586" t="s">
        <v>2780</v>
      </c>
      <c r="E1586" t="s">
        <v>2823</v>
      </c>
      <c r="F1586" t="str">
        <f>"607/668"</f>
        <v>607/668</v>
      </c>
      <c r="G1586" t="s">
        <v>3060</v>
      </c>
      <c r="H1586" t="s">
        <v>6542</v>
      </c>
      <c r="I1586">
        <v>24.89</v>
      </c>
    </row>
    <row r="1587" spans="1:9" ht="12.75">
      <c r="A1587">
        <v>1573</v>
      </c>
      <c r="B1587" t="s">
        <v>6543</v>
      </c>
      <c r="C1587" t="s">
        <v>3286</v>
      </c>
      <c r="D1587" t="s">
        <v>2780</v>
      </c>
      <c r="E1587" t="s">
        <v>2973</v>
      </c>
      <c r="F1587" t="str">
        <f>"112/147"</f>
        <v>112/147</v>
      </c>
      <c r="G1587" t="s">
        <v>2064</v>
      </c>
      <c r="H1587" t="s">
        <v>6544</v>
      </c>
      <c r="I1587">
        <v>24.88</v>
      </c>
    </row>
    <row r="1588" spans="1:9" ht="12.75">
      <c r="A1588">
        <v>1574</v>
      </c>
      <c r="B1588" t="s">
        <v>6545</v>
      </c>
      <c r="C1588" t="s">
        <v>2861</v>
      </c>
      <c r="D1588" t="s">
        <v>2780</v>
      </c>
      <c r="E1588" t="s">
        <v>2973</v>
      </c>
      <c r="F1588" t="str">
        <f>"113/147"</f>
        <v>113/147</v>
      </c>
      <c r="G1588" t="s">
        <v>6546</v>
      </c>
      <c r="H1588" t="s">
        <v>6547</v>
      </c>
      <c r="I1588">
        <v>24.88</v>
      </c>
    </row>
    <row r="1589" spans="1:9" ht="12.75">
      <c r="A1589">
        <v>1575</v>
      </c>
      <c r="B1589" t="s">
        <v>6548</v>
      </c>
      <c r="C1589" t="s">
        <v>3008</v>
      </c>
      <c r="D1589" t="s">
        <v>2780</v>
      </c>
      <c r="E1589" t="s">
        <v>2781</v>
      </c>
      <c r="F1589" t="str">
        <f>"323/354"</f>
        <v>323/354</v>
      </c>
      <c r="G1589" t="s">
        <v>6549</v>
      </c>
      <c r="H1589" t="s">
        <v>6550</v>
      </c>
      <c r="I1589">
        <v>24.87</v>
      </c>
    </row>
    <row r="1590" spans="1:9" ht="12.75">
      <c r="A1590">
        <v>1576</v>
      </c>
      <c r="B1590" t="s">
        <v>6551</v>
      </c>
      <c r="C1590" t="s">
        <v>3438</v>
      </c>
      <c r="D1590" t="s">
        <v>2780</v>
      </c>
      <c r="E1590" t="s">
        <v>2799</v>
      </c>
      <c r="F1590" t="str">
        <f>"88/100"</f>
        <v>88/100</v>
      </c>
      <c r="G1590" t="s">
        <v>6552</v>
      </c>
      <c r="H1590" t="s">
        <v>6553</v>
      </c>
      <c r="I1590">
        <v>24.87</v>
      </c>
    </row>
    <row r="1591" spans="1:9" ht="12.75">
      <c r="A1591">
        <v>1577</v>
      </c>
      <c r="B1591" t="s">
        <v>6554</v>
      </c>
      <c r="C1591" t="s">
        <v>5561</v>
      </c>
      <c r="D1591" t="s">
        <v>2780</v>
      </c>
      <c r="E1591" t="s">
        <v>2818</v>
      </c>
      <c r="F1591" t="str">
        <f>"321/380"</f>
        <v>321/380</v>
      </c>
      <c r="G1591" t="s">
        <v>3095</v>
      </c>
      <c r="H1591" t="s">
        <v>6555</v>
      </c>
      <c r="I1591">
        <v>24.87</v>
      </c>
    </row>
    <row r="1592" spans="1:9" ht="12.75">
      <c r="A1592">
        <v>1578</v>
      </c>
      <c r="B1592" t="s">
        <v>593</v>
      </c>
      <c r="C1592" t="s">
        <v>3057</v>
      </c>
      <c r="D1592" t="s">
        <v>2780</v>
      </c>
      <c r="E1592" t="s">
        <v>2818</v>
      </c>
      <c r="F1592" t="str">
        <f>"322/380"</f>
        <v>322/380</v>
      </c>
      <c r="G1592" t="s">
        <v>3095</v>
      </c>
      <c r="H1592" t="s">
        <v>6556</v>
      </c>
      <c r="I1592">
        <v>24.87</v>
      </c>
    </row>
    <row r="1593" spans="1:9" ht="12.75">
      <c r="A1593">
        <v>1579</v>
      </c>
      <c r="B1593" t="s">
        <v>6044</v>
      </c>
      <c r="C1593" t="s">
        <v>2865</v>
      </c>
      <c r="D1593" t="s">
        <v>2780</v>
      </c>
      <c r="E1593" t="s">
        <v>2799</v>
      </c>
      <c r="F1593" t="str">
        <f>"89/100"</f>
        <v>89/100</v>
      </c>
      <c r="G1593" t="s">
        <v>6557</v>
      </c>
      <c r="H1593" t="s">
        <v>6558</v>
      </c>
      <c r="I1593">
        <v>24.87</v>
      </c>
    </row>
    <row r="1594" spans="1:9" ht="12.75">
      <c r="A1594">
        <v>1580</v>
      </c>
      <c r="B1594" t="s">
        <v>6559</v>
      </c>
      <c r="C1594" t="s">
        <v>3114</v>
      </c>
      <c r="D1594" t="s">
        <v>2780</v>
      </c>
      <c r="E1594" t="s">
        <v>2973</v>
      </c>
      <c r="F1594" t="str">
        <f>"114/147"</f>
        <v>114/147</v>
      </c>
      <c r="G1594" t="s">
        <v>6560</v>
      </c>
      <c r="H1594" t="s">
        <v>6561</v>
      </c>
      <c r="I1594">
        <v>24.86</v>
      </c>
    </row>
    <row r="1595" spans="1:9" ht="12.75">
      <c r="A1595">
        <v>1581</v>
      </c>
      <c r="B1595" t="s">
        <v>6548</v>
      </c>
      <c r="C1595" t="s">
        <v>3576</v>
      </c>
      <c r="D1595" t="s">
        <v>2780</v>
      </c>
      <c r="E1595" t="s">
        <v>2781</v>
      </c>
      <c r="F1595" t="str">
        <f>"324/354"</f>
        <v>324/354</v>
      </c>
      <c r="G1595" t="s">
        <v>59</v>
      </c>
      <c r="H1595" t="s">
        <v>6562</v>
      </c>
      <c r="I1595">
        <v>24.85</v>
      </c>
    </row>
    <row r="1596" spans="1:9" ht="12.75">
      <c r="A1596">
        <v>1582</v>
      </c>
      <c r="B1596" t="s">
        <v>6563</v>
      </c>
      <c r="C1596" t="s">
        <v>256</v>
      </c>
      <c r="D1596" t="s">
        <v>2780</v>
      </c>
      <c r="E1596" t="s">
        <v>2973</v>
      </c>
      <c r="F1596" t="str">
        <f>"115/147"</f>
        <v>115/147</v>
      </c>
      <c r="G1596" t="s">
        <v>2998</v>
      </c>
      <c r="H1596" t="s">
        <v>6564</v>
      </c>
      <c r="I1596">
        <v>24.85</v>
      </c>
    </row>
    <row r="1597" spans="1:9" ht="12.75">
      <c r="A1597">
        <v>1583</v>
      </c>
      <c r="B1597" t="s">
        <v>6565</v>
      </c>
      <c r="C1597" t="s">
        <v>2861</v>
      </c>
      <c r="D1597" t="s">
        <v>2780</v>
      </c>
      <c r="E1597" t="s">
        <v>2823</v>
      </c>
      <c r="F1597" t="str">
        <f>"608/668"</f>
        <v>608/668</v>
      </c>
      <c r="G1597" t="s">
        <v>59</v>
      </c>
      <c r="H1597" t="s">
        <v>6566</v>
      </c>
      <c r="I1597">
        <v>24.82</v>
      </c>
    </row>
    <row r="1598" spans="1:9" ht="12.75">
      <c r="A1598">
        <v>1584</v>
      </c>
      <c r="B1598" t="s">
        <v>6567</v>
      </c>
      <c r="C1598" t="s">
        <v>3174</v>
      </c>
      <c r="D1598" t="s">
        <v>2780</v>
      </c>
      <c r="E1598" t="s">
        <v>2781</v>
      </c>
      <c r="F1598" t="str">
        <f>"325/354"</f>
        <v>325/354</v>
      </c>
      <c r="G1598" t="s">
        <v>6568</v>
      </c>
      <c r="H1598" t="s">
        <v>6569</v>
      </c>
      <c r="I1598">
        <v>24.82</v>
      </c>
    </row>
    <row r="1599" spans="1:9" ht="12.75">
      <c r="A1599">
        <v>1585</v>
      </c>
      <c r="B1599" t="s">
        <v>6570</v>
      </c>
      <c r="C1599" t="s">
        <v>3087</v>
      </c>
      <c r="D1599" t="s">
        <v>2780</v>
      </c>
      <c r="E1599" t="s">
        <v>2818</v>
      </c>
      <c r="F1599" t="str">
        <f>"323/380"</f>
        <v>323/380</v>
      </c>
      <c r="G1599" t="s">
        <v>6571</v>
      </c>
      <c r="H1599" t="s">
        <v>6572</v>
      </c>
      <c r="I1599">
        <v>24.8</v>
      </c>
    </row>
    <row r="1600" spans="1:9" ht="12.75">
      <c r="A1600">
        <v>1586</v>
      </c>
      <c r="B1600" t="s">
        <v>6573</v>
      </c>
      <c r="C1600" t="s">
        <v>2836</v>
      </c>
      <c r="D1600" t="s">
        <v>2780</v>
      </c>
      <c r="E1600" t="s">
        <v>2781</v>
      </c>
      <c r="F1600" t="str">
        <f>"326/354"</f>
        <v>326/354</v>
      </c>
      <c r="G1600" t="s">
        <v>1819</v>
      </c>
      <c r="H1600" t="s">
        <v>6574</v>
      </c>
      <c r="I1600">
        <v>24.76</v>
      </c>
    </row>
    <row r="1601" spans="1:9" ht="12.75">
      <c r="A1601">
        <v>1587</v>
      </c>
      <c r="B1601" t="s">
        <v>6575</v>
      </c>
      <c r="C1601" t="s">
        <v>401</v>
      </c>
      <c r="D1601" t="s">
        <v>2780</v>
      </c>
      <c r="E1601" t="s">
        <v>3209</v>
      </c>
      <c r="F1601" t="str">
        <f>"12/13"</f>
        <v>12/13</v>
      </c>
      <c r="G1601" t="s">
        <v>4177</v>
      </c>
      <c r="H1601" t="s">
        <v>6576</v>
      </c>
      <c r="I1601">
        <v>24.75</v>
      </c>
    </row>
    <row r="1602" spans="1:9" ht="12.75">
      <c r="A1602">
        <v>1588</v>
      </c>
      <c r="B1602" t="s">
        <v>6575</v>
      </c>
      <c r="C1602" t="s">
        <v>6369</v>
      </c>
      <c r="D1602" t="s">
        <v>3031</v>
      </c>
      <c r="E1602" t="s">
        <v>3032</v>
      </c>
      <c r="F1602" t="str">
        <f>"21/25"</f>
        <v>21/25</v>
      </c>
      <c r="G1602" t="s">
        <v>1570</v>
      </c>
      <c r="H1602" t="s">
        <v>6577</v>
      </c>
      <c r="I1602">
        <v>24.75</v>
      </c>
    </row>
    <row r="1603" spans="1:9" ht="12.75">
      <c r="A1603">
        <v>1589</v>
      </c>
      <c r="B1603" t="s">
        <v>3251</v>
      </c>
      <c r="C1603" t="s">
        <v>2861</v>
      </c>
      <c r="D1603" t="s">
        <v>2780</v>
      </c>
      <c r="E1603" t="s">
        <v>2823</v>
      </c>
      <c r="F1603" t="str">
        <f>"609/668"</f>
        <v>609/668</v>
      </c>
      <c r="G1603" t="s">
        <v>1570</v>
      </c>
      <c r="H1603" t="s">
        <v>6578</v>
      </c>
      <c r="I1603">
        <v>24.74</v>
      </c>
    </row>
    <row r="1604" spans="1:9" ht="12.75">
      <c r="A1604">
        <v>1590</v>
      </c>
      <c r="B1604" t="s">
        <v>400</v>
      </c>
      <c r="C1604" t="s">
        <v>2840</v>
      </c>
      <c r="D1604" t="s">
        <v>2780</v>
      </c>
      <c r="E1604" t="s">
        <v>2818</v>
      </c>
      <c r="F1604" t="str">
        <f>"324/380"</f>
        <v>324/380</v>
      </c>
      <c r="G1604" t="s">
        <v>5549</v>
      </c>
      <c r="H1604" t="s">
        <v>6579</v>
      </c>
      <c r="I1604">
        <v>24.74</v>
      </c>
    </row>
    <row r="1605" spans="1:9" ht="12.75">
      <c r="A1605">
        <v>1591</v>
      </c>
      <c r="B1605" t="s">
        <v>6580</v>
      </c>
      <c r="C1605" t="s">
        <v>2822</v>
      </c>
      <c r="D1605" t="s">
        <v>2780</v>
      </c>
      <c r="E1605" t="s">
        <v>2823</v>
      </c>
      <c r="F1605" t="str">
        <f>"610/668"</f>
        <v>610/668</v>
      </c>
      <c r="G1605" t="s">
        <v>5943</v>
      </c>
      <c r="H1605" t="s">
        <v>6581</v>
      </c>
      <c r="I1605">
        <v>24.72</v>
      </c>
    </row>
    <row r="1606" spans="1:9" ht="12.75">
      <c r="A1606">
        <v>1592</v>
      </c>
      <c r="B1606" t="s">
        <v>1772</v>
      </c>
      <c r="C1606" t="s">
        <v>5379</v>
      </c>
      <c r="D1606" t="s">
        <v>2780</v>
      </c>
      <c r="E1606" t="s">
        <v>2818</v>
      </c>
      <c r="F1606" t="str">
        <f>"325/380"</f>
        <v>325/380</v>
      </c>
      <c r="G1606" t="s">
        <v>4989</v>
      </c>
      <c r="H1606" t="s">
        <v>6582</v>
      </c>
      <c r="I1606">
        <v>24.71</v>
      </c>
    </row>
    <row r="1607" spans="1:9" ht="12.75">
      <c r="A1607">
        <v>1593</v>
      </c>
      <c r="B1607" t="s">
        <v>5758</v>
      </c>
      <c r="C1607" t="s">
        <v>6583</v>
      </c>
      <c r="D1607" t="s">
        <v>2780</v>
      </c>
      <c r="E1607" t="s">
        <v>2818</v>
      </c>
      <c r="F1607" t="str">
        <f>"326/380"</f>
        <v>326/380</v>
      </c>
      <c r="G1607" t="s">
        <v>6584</v>
      </c>
      <c r="H1607" t="s">
        <v>6585</v>
      </c>
      <c r="I1607">
        <v>24.71</v>
      </c>
    </row>
    <row r="1608" spans="1:9" ht="12.75">
      <c r="A1608">
        <v>1594</v>
      </c>
      <c r="B1608" t="s">
        <v>6586</v>
      </c>
      <c r="C1608" t="s">
        <v>6587</v>
      </c>
      <c r="D1608" t="s">
        <v>3031</v>
      </c>
      <c r="E1608" t="s">
        <v>3244</v>
      </c>
      <c r="F1608" t="str">
        <f>"32/40"</f>
        <v>32/40</v>
      </c>
      <c r="G1608" t="s">
        <v>3261</v>
      </c>
      <c r="H1608" t="s">
        <v>6588</v>
      </c>
      <c r="I1608">
        <v>24.71</v>
      </c>
    </row>
    <row r="1609" spans="1:9" ht="12.75">
      <c r="A1609">
        <v>1595</v>
      </c>
      <c r="B1609" t="s">
        <v>6589</v>
      </c>
      <c r="C1609" t="s">
        <v>2840</v>
      </c>
      <c r="D1609" t="s">
        <v>2780</v>
      </c>
      <c r="E1609" t="s">
        <v>2973</v>
      </c>
      <c r="F1609" t="str">
        <f>"116/147"</f>
        <v>116/147</v>
      </c>
      <c r="G1609" t="s">
        <v>3261</v>
      </c>
      <c r="H1609" t="s">
        <v>6590</v>
      </c>
      <c r="I1609">
        <v>24.71</v>
      </c>
    </row>
    <row r="1610" spans="1:9" ht="12.75">
      <c r="A1610">
        <v>1596</v>
      </c>
      <c r="B1610" t="s">
        <v>6591</v>
      </c>
      <c r="C1610" t="s">
        <v>2836</v>
      </c>
      <c r="D1610" t="s">
        <v>2780</v>
      </c>
      <c r="E1610" t="s">
        <v>2823</v>
      </c>
      <c r="F1610" t="str">
        <f>"611/668"</f>
        <v>611/668</v>
      </c>
      <c r="G1610" t="s">
        <v>6592</v>
      </c>
      <c r="H1610" t="s">
        <v>6593</v>
      </c>
      <c r="I1610">
        <v>24.7</v>
      </c>
    </row>
    <row r="1611" spans="1:9" ht="12.75">
      <c r="A1611">
        <v>1597</v>
      </c>
      <c r="B1611" t="s">
        <v>6594</v>
      </c>
      <c r="C1611" t="s">
        <v>3445</v>
      </c>
      <c r="D1611" t="s">
        <v>2780</v>
      </c>
      <c r="E1611" t="s">
        <v>2818</v>
      </c>
      <c r="F1611" t="str">
        <f>"327/380"</f>
        <v>327/380</v>
      </c>
      <c r="G1611" t="s">
        <v>59</v>
      </c>
      <c r="H1611" t="s">
        <v>6595</v>
      </c>
      <c r="I1611">
        <v>24.7</v>
      </c>
    </row>
    <row r="1612" spans="1:9" ht="12.75">
      <c r="A1612">
        <v>1598</v>
      </c>
      <c r="B1612" t="s">
        <v>6596</v>
      </c>
      <c r="C1612" t="s">
        <v>2956</v>
      </c>
      <c r="D1612" t="s">
        <v>2780</v>
      </c>
      <c r="E1612" t="s">
        <v>2818</v>
      </c>
      <c r="F1612" t="str">
        <f>"328/380"</f>
        <v>328/380</v>
      </c>
      <c r="G1612" t="s">
        <v>526</v>
      </c>
      <c r="H1612" t="s">
        <v>6597</v>
      </c>
      <c r="I1612">
        <v>24.7</v>
      </c>
    </row>
    <row r="1613" spans="1:9" ht="12.75">
      <c r="A1613">
        <v>1599</v>
      </c>
      <c r="B1613" t="s">
        <v>6598</v>
      </c>
      <c r="C1613" t="s">
        <v>2826</v>
      </c>
      <c r="D1613" t="s">
        <v>2780</v>
      </c>
      <c r="E1613" t="s">
        <v>2973</v>
      </c>
      <c r="F1613" t="str">
        <f>"117/147"</f>
        <v>117/147</v>
      </c>
      <c r="G1613" t="s">
        <v>2889</v>
      </c>
      <c r="H1613" t="s">
        <v>6599</v>
      </c>
      <c r="I1613">
        <v>24.68</v>
      </c>
    </row>
    <row r="1614" spans="1:9" ht="12.75">
      <c r="A1614">
        <v>1600</v>
      </c>
      <c r="B1614" t="s">
        <v>2955</v>
      </c>
      <c r="C1614" t="s">
        <v>3760</v>
      </c>
      <c r="D1614" t="s">
        <v>2780</v>
      </c>
      <c r="E1614" t="s">
        <v>2973</v>
      </c>
      <c r="F1614" t="str">
        <f>"118/147"</f>
        <v>118/147</v>
      </c>
      <c r="G1614" t="s">
        <v>7202</v>
      </c>
      <c r="H1614" t="s">
        <v>6600</v>
      </c>
      <c r="I1614">
        <v>24.68</v>
      </c>
    </row>
    <row r="1615" spans="1:9" ht="12.75">
      <c r="A1615">
        <v>1601</v>
      </c>
      <c r="B1615" t="s">
        <v>6601</v>
      </c>
      <c r="C1615" t="s">
        <v>3760</v>
      </c>
      <c r="D1615" t="s">
        <v>2780</v>
      </c>
      <c r="E1615" t="s">
        <v>2818</v>
      </c>
      <c r="F1615" t="str">
        <f>"329/380"</f>
        <v>329/380</v>
      </c>
      <c r="G1615" t="s">
        <v>5062</v>
      </c>
      <c r="H1615" t="s">
        <v>6602</v>
      </c>
      <c r="I1615">
        <v>24.66</v>
      </c>
    </row>
    <row r="1616" spans="1:9" ht="12.75">
      <c r="A1616">
        <v>1602</v>
      </c>
      <c r="B1616" t="s">
        <v>6603</v>
      </c>
      <c r="C1616" t="s">
        <v>2840</v>
      </c>
      <c r="D1616" t="s">
        <v>2780</v>
      </c>
      <c r="E1616" t="s">
        <v>2973</v>
      </c>
      <c r="F1616" t="str">
        <f>"119/147"</f>
        <v>119/147</v>
      </c>
      <c r="G1616" t="s">
        <v>4969</v>
      </c>
      <c r="H1616" t="s">
        <v>6604</v>
      </c>
      <c r="I1616">
        <v>24.66</v>
      </c>
    </row>
    <row r="1617" spans="1:9" ht="12.75">
      <c r="A1617">
        <v>1603</v>
      </c>
      <c r="B1617" t="s">
        <v>6605</v>
      </c>
      <c r="C1617" t="s">
        <v>6161</v>
      </c>
      <c r="D1617" t="s">
        <v>2780</v>
      </c>
      <c r="E1617" t="s">
        <v>2818</v>
      </c>
      <c r="F1617" t="str">
        <f>"330/380"</f>
        <v>330/380</v>
      </c>
      <c r="G1617" t="s">
        <v>3261</v>
      </c>
      <c r="H1617" t="s">
        <v>6606</v>
      </c>
      <c r="I1617">
        <v>24.65</v>
      </c>
    </row>
    <row r="1618" spans="1:9" ht="12.75">
      <c r="A1618">
        <v>1604</v>
      </c>
      <c r="B1618" t="s">
        <v>6607</v>
      </c>
      <c r="C1618" t="s">
        <v>3464</v>
      </c>
      <c r="D1618" t="s">
        <v>2780</v>
      </c>
      <c r="E1618" t="s">
        <v>2781</v>
      </c>
      <c r="F1618" t="str">
        <f>"327/354"</f>
        <v>327/354</v>
      </c>
      <c r="G1618" t="s">
        <v>3261</v>
      </c>
      <c r="H1618" t="s">
        <v>6608</v>
      </c>
      <c r="I1618">
        <v>24.65</v>
      </c>
    </row>
    <row r="1619" spans="1:9" ht="12.75">
      <c r="A1619">
        <v>1605</v>
      </c>
      <c r="B1619" t="s">
        <v>6609</v>
      </c>
      <c r="C1619" t="s">
        <v>3087</v>
      </c>
      <c r="D1619" t="s">
        <v>2780</v>
      </c>
      <c r="E1619" t="s">
        <v>2818</v>
      </c>
      <c r="F1619" t="str">
        <f>"331/380"</f>
        <v>331/380</v>
      </c>
      <c r="G1619" t="s">
        <v>3261</v>
      </c>
      <c r="H1619" t="s">
        <v>6610</v>
      </c>
      <c r="I1619">
        <v>24.63</v>
      </c>
    </row>
    <row r="1620" spans="1:9" ht="12.75">
      <c r="A1620">
        <v>1606</v>
      </c>
      <c r="B1620" t="s">
        <v>6611</v>
      </c>
      <c r="C1620" t="s">
        <v>256</v>
      </c>
      <c r="D1620" t="s">
        <v>2780</v>
      </c>
      <c r="E1620" t="s">
        <v>2823</v>
      </c>
      <c r="F1620" t="str">
        <f>"612/668"</f>
        <v>612/668</v>
      </c>
      <c r="G1620" t="s">
        <v>3261</v>
      </c>
      <c r="H1620" t="s">
        <v>6612</v>
      </c>
      <c r="I1620">
        <v>24.62</v>
      </c>
    </row>
    <row r="1621" spans="1:9" ht="12.75">
      <c r="A1621">
        <v>1607</v>
      </c>
      <c r="B1621" t="s">
        <v>3575</v>
      </c>
      <c r="C1621" t="s">
        <v>2861</v>
      </c>
      <c r="D1621" t="s">
        <v>2780</v>
      </c>
      <c r="E1621" t="s">
        <v>2823</v>
      </c>
      <c r="F1621" t="str">
        <f>"613/668"</f>
        <v>613/668</v>
      </c>
      <c r="G1621" t="s">
        <v>3261</v>
      </c>
      <c r="H1621" t="s">
        <v>6613</v>
      </c>
      <c r="I1621">
        <v>24.62</v>
      </c>
    </row>
    <row r="1622" spans="1:9" ht="12.75">
      <c r="A1622">
        <v>1608</v>
      </c>
      <c r="B1622" t="s">
        <v>120</v>
      </c>
      <c r="C1622" t="s">
        <v>3017</v>
      </c>
      <c r="D1622" t="s">
        <v>2780</v>
      </c>
      <c r="E1622" t="s">
        <v>2823</v>
      </c>
      <c r="F1622" t="str">
        <f>"614/668"</f>
        <v>614/668</v>
      </c>
      <c r="G1622" t="s">
        <v>3338</v>
      </c>
      <c r="H1622" t="s">
        <v>6614</v>
      </c>
      <c r="I1622">
        <v>24.62</v>
      </c>
    </row>
    <row r="1623" spans="1:9" ht="12.75">
      <c r="A1623">
        <v>1609</v>
      </c>
      <c r="B1623" t="s">
        <v>6615</v>
      </c>
      <c r="C1623" t="s">
        <v>6616</v>
      </c>
      <c r="D1623" t="s">
        <v>2780</v>
      </c>
      <c r="E1623" t="s">
        <v>2973</v>
      </c>
      <c r="F1623" t="str">
        <f>"120/147"</f>
        <v>120/147</v>
      </c>
      <c r="G1623" t="s">
        <v>3261</v>
      </c>
      <c r="H1623" t="s">
        <v>6617</v>
      </c>
      <c r="I1623">
        <v>24.62</v>
      </c>
    </row>
    <row r="1624" spans="1:9" ht="12.75">
      <c r="A1624">
        <v>1610</v>
      </c>
      <c r="B1624" t="s">
        <v>6615</v>
      </c>
      <c r="C1624" t="s">
        <v>3116</v>
      </c>
      <c r="D1624" t="s">
        <v>2780</v>
      </c>
      <c r="E1624" t="s">
        <v>2781</v>
      </c>
      <c r="F1624" t="str">
        <f>"328/354"</f>
        <v>328/354</v>
      </c>
      <c r="G1624" t="s">
        <v>3261</v>
      </c>
      <c r="H1624" t="s">
        <v>6618</v>
      </c>
      <c r="I1624">
        <v>24.61</v>
      </c>
    </row>
    <row r="1625" spans="1:9" ht="12.75">
      <c r="A1625">
        <v>1611</v>
      </c>
      <c r="B1625" t="s">
        <v>6619</v>
      </c>
      <c r="C1625" t="s">
        <v>2991</v>
      </c>
      <c r="D1625" t="s">
        <v>2780</v>
      </c>
      <c r="E1625" t="s">
        <v>2823</v>
      </c>
      <c r="F1625" t="str">
        <f>"615/668"</f>
        <v>615/668</v>
      </c>
      <c r="G1625" t="s">
        <v>6620</v>
      </c>
      <c r="H1625" t="s">
        <v>6621</v>
      </c>
      <c r="I1625">
        <v>24.6</v>
      </c>
    </row>
    <row r="1626" spans="1:9" ht="12.75">
      <c r="A1626">
        <v>1612</v>
      </c>
      <c r="B1626" t="s">
        <v>6622</v>
      </c>
      <c r="C1626" t="s">
        <v>2991</v>
      </c>
      <c r="D1626" t="s">
        <v>2780</v>
      </c>
      <c r="E1626" t="s">
        <v>2823</v>
      </c>
      <c r="F1626" t="str">
        <f>"616/668"</f>
        <v>616/668</v>
      </c>
      <c r="G1626" t="s">
        <v>2055</v>
      </c>
      <c r="H1626" t="s">
        <v>6623</v>
      </c>
      <c r="I1626">
        <v>24.59</v>
      </c>
    </row>
    <row r="1627" spans="1:9" ht="12.75">
      <c r="A1627">
        <v>1613</v>
      </c>
      <c r="B1627" t="s">
        <v>6624</v>
      </c>
      <c r="C1627" t="s">
        <v>3114</v>
      </c>
      <c r="D1627" t="s">
        <v>2780</v>
      </c>
      <c r="E1627" t="s">
        <v>2973</v>
      </c>
      <c r="F1627" t="str">
        <f>"121/147"</f>
        <v>121/147</v>
      </c>
      <c r="G1627" t="s">
        <v>3011</v>
      </c>
      <c r="H1627" t="s">
        <v>6625</v>
      </c>
      <c r="I1627">
        <v>24.57</v>
      </c>
    </row>
    <row r="1628" spans="1:9" ht="12.75">
      <c r="A1628">
        <v>1614</v>
      </c>
      <c r="B1628" t="s">
        <v>6626</v>
      </c>
      <c r="C1628" t="s">
        <v>2865</v>
      </c>
      <c r="D1628" t="s">
        <v>2780</v>
      </c>
      <c r="E1628" t="s">
        <v>2818</v>
      </c>
      <c r="F1628" t="str">
        <f>"332/380"</f>
        <v>332/380</v>
      </c>
      <c r="G1628" t="s">
        <v>6627</v>
      </c>
      <c r="H1628" t="s">
        <v>6628</v>
      </c>
      <c r="I1628">
        <v>24.53</v>
      </c>
    </row>
    <row r="1629" spans="1:9" ht="12.75">
      <c r="A1629">
        <v>1615</v>
      </c>
      <c r="B1629" t="s">
        <v>6629</v>
      </c>
      <c r="C1629" t="s">
        <v>6630</v>
      </c>
      <c r="D1629" t="s">
        <v>2780</v>
      </c>
      <c r="E1629" t="s">
        <v>2799</v>
      </c>
      <c r="F1629" t="str">
        <f>"90/100"</f>
        <v>90/100</v>
      </c>
      <c r="G1629" t="s">
        <v>59</v>
      </c>
      <c r="H1629" t="s">
        <v>6631</v>
      </c>
      <c r="I1629">
        <v>24.51</v>
      </c>
    </row>
    <row r="1630" spans="1:9" ht="12.75">
      <c r="A1630">
        <v>1616</v>
      </c>
      <c r="B1630" t="s">
        <v>6632</v>
      </c>
      <c r="C1630" t="s">
        <v>3116</v>
      </c>
      <c r="D1630" t="s">
        <v>2780</v>
      </c>
      <c r="E1630" t="s">
        <v>2799</v>
      </c>
      <c r="F1630" t="str">
        <f>"91/100"</f>
        <v>91/100</v>
      </c>
      <c r="G1630" t="s">
        <v>59</v>
      </c>
      <c r="H1630" t="s">
        <v>6633</v>
      </c>
      <c r="I1630">
        <v>24.51</v>
      </c>
    </row>
    <row r="1631" spans="1:9" ht="12.75">
      <c r="A1631">
        <v>1617</v>
      </c>
      <c r="B1631" t="s">
        <v>6634</v>
      </c>
      <c r="C1631" t="s">
        <v>6635</v>
      </c>
      <c r="D1631" t="s">
        <v>2780</v>
      </c>
      <c r="E1631" t="s">
        <v>2818</v>
      </c>
      <c r="F1631" t="str">
        <f>"333/380"</f>
        <v>333/380</v>
      </c>
      <c r="G1631" t="s">
        <v>2243</v>
      </c>
      <c r="H1631" t="s">
        <v>6636</v>
      </c>
      <c r="I1631">
        <v>24.51</v>
      </c>
    </row>
    <row r="1632" spans="1:9" ht="12.75">
      <c r="A1632">
        <v>1618</v>
      </c>
      <c r="B1632" t="s">
        <v>1818</v>
      </c>
      <c r="C1632" t="s">
        <v>3346</v>
      </c>
      <c r="D1632" t="s">
        <v>2780</v>
      </c>
      <c r="E1632" t="s">
        <v>2823</v>
      </c>
      <c r="F1632" t="str">
        <f>"617/668"</f>
        <v>617/668</v>
      </c>
      <c r="G1632" t="s">
        <v>1819</v>
      </c>
      <c r="H1632" t="s">
        <v>6637</v>
      </c>
      <c r="I1632">
        <v>24.49</v>
      </c>
    </row>
    <row r="1633" spans="1:9" ht="12.75">
      <c r="A1633">
        <v>1619</v>
      </c>
      <c r="B1633" t="s">
        <v>2879</v>
      </c>
      <c r="C1633" t="s">
        <v>3164</v>
      </c>
      <c r="D1633" t="s">
        <v>2780</v>
      </c>
      <c r="E1633" t="s">
        <v>2781</v>
      </c>
      <c r="F1633" t="str">
        <f>"329/354"</f>
        <v>329/354</v>
      </c>
      <c r="G1633" t="s">
        <v>5214</v>
      </c>
      <c r="H1633" t="s">
        <v>6638</v>
      </c>
      <c r="I1633">
        <v>24.48</v>
      </c>
    </row>
    <row r="1634" spans="1:9" ht="12.75">
      <c r="A1634">
        <v>1620</v>
      </c>
      <c r="B1634" t="s">
        <v>5939</v>
      </c>
      <c r="C1634" t="s">
        <v>6639</v>
      </c>
      <c r="D1634" t="s">
        <v>2780</v>
      </c>
      <c r="E1634" t="s">
        <v>2781</v>
      </c>
      <c r="F1634" t="str">
        <f>"330/354"</f>
        <v>330/354</v>
      </c>
      <c r="G1634" t="s">
        <v>6176</v>
      </c>
      <c r="H1634" t="s">
        <v>6640</v>
      </c>
      <c r="I1634">
        <v>24.47</v>
      </c>
    </row>
    <row r="1635" spans="1:9" ht="12.75">
      <c r="A1635">
        <v>1621</v>
      </c>
      <c r="B1635" t="s">
        <v>6641</v>
      </c>
      <c r="C1635" t="s">
        <v>2963</v>
      </c>
      <c r="D1635" t="s">
        <v>2780</v>
      </c>
      <c r="E1635" t="s">
        <v>2823</v>
      </c>
      <c r="F1635" t="str">
        <f>"618/668"</f>
        <v>618/668</v>
      </c>
      <c r="G1635" t="s">
        <v>1684</v>
      </c>
      <c r="H1635" t="s">
        <v>6642</v>
      </c>
      <c r="I1635">
        <v>24.46</v>
      </c>
    </row>
    <row r="1636" spans="1:9" ht="12.75">
      <c r="A1636">
        <v>1622</v>
      </c>
      <c r="B1636" t="s">
        <v>6643</v>
      </c>
      <c r="C1636" t="s">
        <v>615</v>
      </c>
      <c r="D1636" t="s">
        <v>2780</v>
      </c>
      <c r="E1636" t="s">
        <v>2973</v>
      </c>
      <c r="F1636" t="str">
        <f>"122/147"</f>
        <v>122/147</v>
      </c>
      <c r="G1636" t="s">
        <v>5842</v>
      </c>
      <c r="H1636" t="s">
        <v>6644</v>
      </c>
      <c r="I1636">
        <v>24.45</v>
      </c>
    </row>
    <row r="1637" spans="1:9" ht="12.75">
      <c r="A1637">
        <v>1623</v>
      </c>
      <c r="B1637" t="s">
        <v>6645</v>
      </c>
      <c r="C1637" t="s">
        <v>6646</v>
      </c>
      <c r="D1637" t="s">
        <v>2780</v>
      </c>
      <c r="E1637" t="s">
        <v>3244</v>
      </c>
      <c r="F1637" t="str">
        <f>"33/40"</f>
        <v>33/40</v>
      </c>
      <c r="G1637" t="s">
        <v>0</v>
      </c>
      <c r="H1637" t="s">
        <v>6647</v>
      </c>
      <c r="I1637">
        <v>24.44</v>
      </c>
    </row>
    <row r="1638" spans="1:9" ht="12.75">
      <c r="A1638">
        <v>1624</v>
      </c>
      <c r="B1638" t="s">
        <v>6648</v>
      </c>
      <c r="C1638" t="s">
        <v>3114</v>
      </c>
      <c r="D1638" t="s">
        <v>2780</v>
      </c>
      <c r="E1638" t="s">
        <v>2818</v>
      </c>
      <c r="F1638" t="str">
        <f>"334/380"</f>
        <v>334/380</v>
      </c>
      <c r="G1638" t="s">
        <v>6649</v>
      </c>
      <c r="H1638" t="s">
        <v>6650</v>
      </c>
      <c r="I1638">
        <v>24.42</v>
      </c>
    </row>
    <row r="1639" spans="1:9" ht="12.75">
      <c r="A1639">
        <v>1625</v>
      </c>
      <c r="B1639" t="s">
        <v>778</v>
      </c>
      <c r="C1639" t="s">
        <v>3057</v>
      </c>
      <c r="D1639" t="s">
        <v>2780</v>
      </c>
      <c r="E1639" t="s">
        <v>2818</v>
      </c>
      <c r="F1639" t="str">
        <f>"335/380"</f>
        <v>335/380</v>
      </c>
      <c r="G1639" t="s">
        <v>5052</v>
      </c>
      <c r="H1639" t="s">
        <v>6651</v>
      </c>
      <c r="I1639">
        <v>24.42</v>
      </c>
    </row>
    <row r="1640" spans="1:9" ht="12.75">
      <c r="A1640">
        <v>1626</v>
      </c>
      <c r="B1640" t="s">
        <v>6994</v>
      </c>
      <c r="C1640" t="s">
        <v>660</v>
      </c>
      <c r="D1640" t="s">
        <v>2780</v>
      </c>
      <c r="E1640" t="s">
        <v>2818</v>
      </c>
      <c r="F1640" t="str">
        <f>"336/380"</f>
        <v>336/380</v>
      </c>
      <c r="G1640" t="s">
        <v>3807</v>
      </c>
      <c r="H1640" t="s">
        <v>6652</v>
      </c>
      <c r="I1640">
        <v>24.41</v>
      </c>
    </row>
    <row r="1641" spans="1:9" ht="12.75">
      <c r="A1641">
        <v>1627</v>
      </c>
      <c r="B1641" t="s">
        <v>6653</v>
      </c>
      <c r="C1641" t="s">
        <v>2963</v>
      </c>
      <c r="D1641" t="s">
        <v>2780</v>
      </c>
      <c r="E1641" t="s">
        <v>2781</v>
      </c>
      <c r="F1641" t="str">
        <f>"331/354"</f>
        <v>331/354</v>
      </c>
      <c r="G1641" t="s">
        <v>3807</v>
      </c>
      <c r="H1641" t="s">
        <v>6654</v>
      </c>
      <c r="I1641">
        <v>24.41</v>
      </c>
    </row>
    <row r="1642" spans="1:9" ht="12.75">
      <c r="A1642">
        <v>1628</v>
      </c>
      <c r="B1642" t="s">
        <v>6655</v>
      </c>
      <c r="C1642" t="s">
        <v>6656</v>
      </c>
      <c r="D1642" t="s">
        <v>2780</v>
      </c>
      <c r="E1642" t="s">
        <v>2823</v>
      </c>
      <c r="F1642" t="str">
        <f>"619/668"</f>
        <v>619/668</v>
      </c>
      <c r="G1642" t="s">
        <v>2889</v>
      </c>
      <c r="H1642" t="s">
        <v>6657</v>
      </c>
      <c r="I1642">
        <v>24.39</v>
      </c>
    </row>
    <row r="1643" spans="1:9" ht="12.75">
      <c r="A1643">
        <v>1629</v>
      </c>
      <c r="B1643" t="s">
        <v>2278</v>
      </c>
      <c r="C1643" t="s">
        <v>2895</v>
      </c>
      <c r="D1643" t="s">
        <v>2780</v>
      </c>
      <c r="E1643" t="s">
        <v>2818</v>
      </c>
      <c r="F1643" t="str">
        <f>"337/380"</f>
        <v>337/380</v>
      </c>
      <c r="G1643" t="s">
        <v>2889</v>
      </c>
      <c r="H1643" t="s">
        <v>6658</v>
      </c>
      <c r="I1643">
        <v>24.39</v>
      </c>
    </row>
    <row r="1644" spans="1:9" ht="12.75">
      <c r="A1644">
        <v>1630</v>
      </c>
      <c r="B1644" t="s">
        <v>1148</v>
      </c>
      <c r="C1644" t="s">
        <v>6659</v>
      </c>
      <c r="D1644" t="s">
        <v>2780</v>
      </c>
      <c r="E1644" t="s">
        <v>2818</v>
      </c>
      <c r="F1644" t="str">
        <f>"338/380"</f>
        <v>338/380</v>
      </c>
      <c r="G1644" t="s">
        <v>2889</v>
      </c>
      <c r="H1644" t="s">
        <v>6660</v>
      </c>
      <c r="I1644">
        <v>24.39</v>
      </c>
    </row>
    <row r="1645" spans="1:9" ht="12.75">
      <c r="A1645">
        <v>1631</v>
      </c>
      <c r="B1645" t="s">
        <v>3806</v>
      </c>
      <c r="C1645" t="s">
        <v>3594</v>
      </c>
      <c r="D1645" t="s">
        <v>2780</v>
      </c>
      <c r="E1645" t="s">
        <v>2823</v>
      </c>
      <c r="F1645" t="str">
        <f>"620/668"</f>
        <v>620/668</v>
      </c>
      <c r="G1645" t="s">
        <v>3807</v>
      </c>
      <c r="H1645" t="s">
        <v>6661</v>
      </c>
      <c r="I1645">
        <v>24.39</v>
      </c>
    </row>
    <row r="1646" spans="1:9" ht="12.75">
      <c r="A1646">
        <v>1632</v>
      </c>
      <c r="B1646" t="s">
        <v>6662</v>
      </c>
      <c r="C1646" t="s">
        <v>6663</v>
      </c>
      <c r="D1646" t="s">
        <v>2780</v>
      </c>
      <c r="E1646" t="s">
        <v>2818</v>
      </c>
      <c r="F1646" t="str">
        <f>"339/380"</f>
        <v>339/380</v>
      </c>
      <c r="G1646" t="s">
        <v>3807</v>
      </c>
      <c r="H1646" t="s">
        <v>6664</v>
      </c>
      <c r="I1646">
        <v>24.38</v>
      </c>
    </row>
    <row r="1647" spans="1:9" ht="12.75">
      <c r="A1647">
        <v>1633</v>
      </c>
      <c r="B1647" t="s">
        <v>6665</v>
      </c>
      <c r="C1647" t="s">
        <v>2914</v>
      </c>
      <c r="D1647" t="s">
        <v>2780</v>
      </c>
      <c r="E1647" t="s">
        <v>2781</v>
      </c>
      <c r="F1647" t="str">
        <f>"332/354"</f>
        <v>332/354</v>
      </c>
      <c r="G1647" t="s">
        <v>7140</v>
      </c>
      <c r="H1647" t="s">
        <v>6666</v>
      </c>
      <c r="I1647">
        <v>24.37</v>
      </c>
    </row>
    <row r="1648" spans="1:9" ht="12.75">
      <c r="A1648">
        <v>1634</v>
      </c>
      <c r="B1648" t="s">
        <v>5465</v>
      </c>
      <c r="C1648" t="s">
        <v>3318</v>
      </c>
      <c r="D1648" t="s">
        <v>2780</v>
      </c>
      <c r="E1648" t="s">
        <v>2818</v>
      </c>
      <c r="F1648" t="str">
        <f>"340/380"</f>
        <v>340/380</v>
      </c>
      <c r="G1648" t="s">
        <v>3807</v>
      </c>
      <c r="H1648" t="s">
        <v>6667</v>
      </c>
      <c r="I1648">
        <v>24.37</v>
      </c>
    </row>
    <row r="1649" spans="1:9" ht="12.75">
      <c r="A1649">
        <v>1635</v>
      </c>
      <c r="B1649" t="s">
        <v>6668</v>
      </c>
      <c r="C1649" t="s">
        <v>2857</v>
      </c>
      <c r="D1649" t="s">
        <v>2780</v>
      </c>
      <c r="E1649" t="s">
        <v>2973</v>
      </c>
      <c r="F1649" t="str">
        <f>"123/147"</f>
        <v>123/147</v>
      </c>
      <c r="G1649" t="s">
        <v>1608</v>
      </c>
      <c r="H1649" t="s">
        <v>6669</v>
      </c>
      <c r="I1649">
        <v>24.36</v>
      </c>
    </row>
    <row r="1650" spans="1:9" ht="12.75">
      <c r="A1650">
        <v>1636</v>
      </c>
      <c r="B1650" t="s">
        <v>6670</v>
      </c>
      <c r="C1650" t="s">
        <v>3108</v>
      </c>
      <c r="D1650" t="s">
        <v>2780</v>
      </c>
      <c r="E1650" t="s">
        <v>2973</v>
      </c>
      <c r="F1650" t="str">
        <f>"124/147"</f>
        <v>124/147</v>
      </c>
      <c r="G1650" t="s">
        <v>4717</v>
      </c>
      <c r="H1650" t="s">
        <v>6671</v>
      </c>
      <c r="I1650">
        <v>24.31</v>
      </c>
    </row>
    <row r="1651" spans="1:9" ht="12.75">
      <c r="A1651">
        <v>1637</v>
      </c>
      <c r="B1651" t="s">
        <v>6672</v>
      </c>
      <c r="C1651" t="s">
        <v>2963</v>
      </c>
      <c r="D1651" t="s">
        <v>2780</v>
      </c>
      <c r="E1651" t="s">
        <v>2799</v>
      </c>
      <c r="F1651" t="str">
        <f>"92/100"</f>
        <v>92/100</v>
      </c>
      <c r="G1651" t="s">
        <v>799</v>
      </c>
      <c r="H1651" t="s">
        <v>6673</v>
      </c>
      <c r="I1651">
        <v>24.28</v>
      </c>
    </row>
    <row r="1652" spans="1:9" ht="12.75">
      <c r="A1652">
        <v>1638</v>
      </c>
      <c r="B1652" t="s">
        <v>5067</v>
      </c>
      <c r="C1652" t="s">
        <v>2836</v>
      </c>
      <c r="D1652" t="s">
        <v>2780</v>
      </c>
      <c r="E1652" t="s">
        <v>2781</v>
      </c>
      <c r="F1652" t="str">
        <f>"333/354"</f>
        <v>333/354</v>
      </c>
      <c r="G1652" t="s">
        <v>4874</v>
      </c>
      <c r="H1652" t="s">
        <v>6674</v>
      </c>
      <c r="I1652">
        <v>24.27</v>
      </c>
    </row>
    <row r="1653" spans="1:9" ht="12.75">
      <c r="A1653">
        <v>1639</v>
      </c>
      <c r="B1653" t="s">
        <v>6675</v>
      </c>
      <c r="C1653" t="s">
        <v>2857</v>
      </c>
      <c r="D1653" t="s">
        <v>2780</v>
      </c>
      <c r="E1653" t="s">
        <v>2781</v>
      </c>
      <c r="F1653" t="str">
        <f>"334/354"</f>
        <v>334/354</v>
      </c>
      <c r="G1653" t="s">
        <v>59</v>
      </c>
      <c r="H1653" t="s">
        <v>6676</v>
      </c>
      <c r="I1653">
        <v>24.25</v>
      </c>
    </row>
    <row r="1654" spans="1:9" ht="12.75">
      <c r="A1654">
        <v>1640</v>
      </c>
      <c r="B1654" t="s">
        <v>6677</v>
      </c>
      <c r="C1654" t="s">
        <v>6678</v>
      </c>
      <c r="D1654" t="s">
        <v>2780</v>
      </c>
      <c r="E1654" t="s">
        <v>2818</v>
      </c>
      <c r="F1654" t="str">
        <f>"341/380"</f>
        <v>341/380</v>
      </c>
      <c r="G1654" t="s">
        <v>6679</v>
      </c>
      <c r="H1654" t="s">
        <v>6680</v>
      </c>
      <c r="I1654">
        <v>24.21</v>
      </c>
    </row>
    <row r="1655" spans="1:9" ht="12.75">
      <c r="A1655">
        <v>1641</v>
      </c>
      <c r="B1655" t="s">
        <v>6075</v>
      </c>
      <c r="C1655" t="s">
        <v>6681</v>
      </c>
      <c r="D1655" t="s">
        <v>2780</v>
      </c>
      <c r="E1655" t="s">
        <v>2781</v>
      </c>
      <c r="F1655" t="str">
        <f>"335/354"</f>
        <v>335/354</v>
      </c>
      <c r="G1655" t="s">
        <v>6682</v>
      </c>
      <c r="H1655" t="s">
        <v>6683</v>
      </c>
      <c r="I1655">
        <v>24.21</v>
      </c>
    </row>
    <row r="1656" spans="1:9" ht="12.75">
      <c r="A1656">
        <v>1642</v>
      </c>
      <c r="B1656" t="s">
        <v>6684</v>
      </c>
      <c r="C1656" t="s">
        <v>3114</v>
      </c>
      <c r="D1656" t="s">
        <v>2780</v>
      </c>
      <c r="E1656" t="s">
        <v>2781</v>
      </c>
      <c r="F1656" t="str">
        <f>"336/354"</f>
        <v>336/354</v>
      </c>
      <c r="G1656" t="s">
        <v>3277</v>
      </c>
      <c r="H1656" t="s">
        <v>6685</v>
      </c>
      <c r="I1656">
        <v>24.18</v>
      </c>
    </row>
    <row r="1657" spans="1:9" ht="12.75">
      <c r="A1657">
        <v>1643</v>
      </c>
      <c r="B1657" t="s">
        <v>5155</v>
      </c>
      <c r="C1657" t="s">
        <v>6686</v>
      </c>
      <c r="D1657" t="s">
        <v>3031</v>
      </c>
      <c r="E1657" t="s">
        <v>3032</v>
      </c>
      <c r="F1657" t="str">
        <f>"22/25"</f>
        <v>22/25</v>
      </c>
      <c r="G1657" t="s">
        <v>3277</v>
      </c>
      <c r="H1657" t="s">
        <v>6687</v>
      </c>
      <c r="I1657">
        <v>24.18</v>
      </c>
    </row>
    <row r="1658" spans="1:9" ht="12.75">
      <c r="A1658">
        <v>1644</v>
      </c>
      <c r="B1658" t="s">
        <v>2843</v>
      </c>
      <c r="C1658" t="s">
        <v>3438</v>
      </c>
      <c r="D1658" t="s">
        <v>2780</v>
      </c>
      <c r="E1658" t="s">
        <v>2818</v>
      </c>
      <c r="F1658" t="str">
        <f>"342/380"</f>
        <v>342/380</v>
      </c>
      <c r="G1658" t="s">
        <v>1104</v>
      </c>
      <c r="H1658" t="s">
        <v>6688</v>
      </c>
      <c r="I1658">
        <v>24.18</v>
      </c>
    </row>
    <row r="1659" spans="1:9" ht="12.75">
      <c r="A1659">
        <v>1645</v>
      </c>
      <c r="B1659" t="s">
        <v>6689</v>
      </c>
      <c r="C1659" t="s">
        <v>6690</v>
      </c>
      <c r="D1659" t="s">
        <v>2780</v>
      </c>
      <c r="E1659" t="s">
        <v>2823</v>
      </c>
      <c r="F1659" t="str">
        <f>"621/668"</f>
        <v>621/668</v>
      </c>
      <c r="G1659" t="s">
        <v>6691</v>
      </c>
      <c r="H1659" t="s">
        <v>6692</v>
      </c>
      <c r="I1659">
        <v>24.1</v>
      </c>
    </row>
    <row r="1660" spans="1:9" ht="12.75">
      <c r="A1660">
        <v>1646</v>
      </c>
      <c r="B1660" t="s">
        <v>6693</v>
      </c>
      <c r="C1660" t="s">
        <v>7540</v>
      </c>
      <c r="D1660" t="s">
        <v>2780</v>
      </c>
      <c r="E1660" t="s">
        <v>2818</v>
      </c>
      <c r="F1660" t="str">
        <f>"343/380"</f>
        <v>343/380</v>
      </c>
      <c r="G1660" t="s">
        <v>3468</v>
      </c>
      <c r="H1660" t="s">
        <v>6694</v>
      </c>
      <c r="I1660">
        <v>24.09</v>
      </c>
    </row>
    <row r="1661" spans="1:9" ht="12.75">
      <c r="A1661">
        <v>1647</v>
      </c>
      <c r="B1661" t="s">
        <v>6695</v>
      </c>
      <c r="C1661" t="s">
        <v>2861</v>
      </c>
      <c r="D1661" t="s">
        <v>2780</v>
      </c>
      <c r="E1661" t="s">
        <v>2823</v>
      </c>
      <c r="F1661" t="str">
        <f>"622/668"</f>
        <v>622/668</v>
      </c>
      <c r="G1661" t="s">
        <v>57</v>
      </c>
      <c r="H1661" t="s">
        <v>6696</v>
      </c>
      <c r="I1661">
        <v>24.09</v>
      </c>
    </row>
    <row r="1662" spans="1:9" ht="12.75">
      <c r="A1662">
        <v>1648</v>
      </c>
      <c r="B1662" t="s">
        <v>6697</v>
      </c>
      <c r="C1662" t="s">
        <v>1583</v>
      </c>
      <c r="D1662" t="s">
        <v>3031</v>
      </c>
      <c r="E1662" t="s">
        <v>3032</v>
      </c>
      <c r="F1662" t="str">
        <f>"23/25"</f>
        <v>23/25</v>
      </c>
      <c r="G1662" t="s">
        <v>1754</v>
      </c>
      <c r="H1662" t="s">
        <v>6698</v>
      </c>
      <c r="I1662">
        <v>24.08</v>
      </c>
    </row>
    <row r="1663" spans="1:9" ht="12.75">
      <c r="A1663">
        <v>1649</v>
      </c>
      <c r="B1663" t="s">
        <v>6699</v>
      </c>
      <c r="C1663" t="s">
        <v>39</v>
      </c>
      <c r="D1663" t="s">
        <v>2780</v>
      </c>
      <c r="E1663" t="s">
        <v>3032</v>
      </c>
      <c r="F1663" t="str">
        <f>"24/25"</f>
        <v>24/25</v>
      </c>
      <c r="G1663" t="s">
        <v>1754</v>
      </c>
      <c r="H1663" t="s">
        <v>6700</v>
      </c>
      <c r="I1663">
        <v>24.03</v>
      </c>
    </row>
    <row r="1664" spans="1:9" ht="12.75">
      <c r="A1664">
        <v>1650</v>
      </c>
      <c r="B1664" t="s">
        <v>4934</v>
      </c>
      <c r="C1664" t="s">
        <v>2916</v>
      </c>
      <c r="D1664" t="s">
        <v>2780</v>
      </c>
      <c r="E1664" t="s">
        <v>2973</v>
      </c>
      <c r="F1664" t="str">
        <f>"125/147"</f>
        <v>125/147</v>
      </c>
      <c r="G1664" t="s">
        <v>6305</v>
      </c>
      <c r="H1664" t="s">
        <v>6701</v>
      </c>
      <c r="I1664">
        <v>24.02</v>
      </c>
    </row>
    <row r="1665" spans="1:9" ht="12.75">
      <c r="A1665">
        <v>1651</v>
      </c>
      <c r="B1665" t="s">
        <v>6702</v>
      </c>
      <c r="C1665" t="s">
        <v>4058</v>
      </c>
      <c r="D1665" t="s">
        <v>2780</v>
      </c>
      <c r="E1665" t="s">
        <v>2973</v>
      </c>
      <c r="F1665" t="str">
        <f>"126/147"</f>
        <v>126/147</v>
      </c>
      <c r="G1665" t="s">
        <v>4969</v>
      </c>
      <c r="H1665" t="s">
        <v>6703</v>
      </c>
      <c r="I1665">
        <v>24.01</v>
      </c>
    </row>
    <row r="1666" spans="1:9" ht="12.75">
      <c r="A1666">
        <v>1652</v>
      </c>
      <c r="B1666" t="s">
        <v>6704</v>
      </c>
      <c r="C1666" t="s">
        <v>2895</v>
      </c>
      <c r="D1666" t="s">
        <v>2780</v>
      </c>
      <c r="E1666" t="s">
        <v>2818</v>
      </c>
      <c r="F1666" t="str">
        <f>"344/380"</f>
        <v>344/380</v>
      </c>
      <c r="G1666" t="s">
        <v>5549</v>
      </c>
      <c r="H1666" t="s">
        <v>6705</v>
      </c>
      <c r="I1666">
        <v>23.99</v>
      </c>
    </row>
    <row r="1667" spans="1:9" ht="12.75">
      <c r="A1667">
        <v>1653</v>
      </c>
      <c r="B1667" t="s">
        <v>6706</v>
      </c>
      <c r="C1667" t="s">
        <v>3164</v>
      </c>
      <c r="D1667" t="s">
        <v>2780</v>
      </c>
      <c r="E1667" t="s">
        <v>2823</v>
      </c>
      <c r="F1667" t="str">
        <f>"623/668"</f>
        <v>623/668</v>
      </c>
      <c r="G1667" t="s">
        <v>6707</v>
      </c>
      <c r="H1667" t="s">
        <v>6708</v>
      </c>
      <c r="I1667">
        <v>23.95</v>
      </c>
    </row>
    <row r="1668" spans="1:9" ht="12.75">
      <c r="A1668">
        <v>1654</v>
      </c>
      <c r="B1668" t="s">
        <v>6709</v>
      </c>
      <c r="C1668" t="s">
        <v>3488</v>
      </c>
      <c r="D1668" t="s">
        <v>2780</v>
      </c>
      <c r="E1668" t="s">
        <v>2818</v>
      </c>
      <c r="F1668" t="str">
        <f>"345/380"</f>
        <v>345/380</v>
      </c>
      <c r="G1668" t="s">
        <v>7202</v>
      </c>
      <c r="H1668" t="s">
        <v>6710</v>
      </c>
      <c r="I1668">
        <v>23.94</v>
      </c>
    </row>
    <row r="1669" spans="1:9" ht="12.75">
      <c r="A1669">
        <v>1655</v>
      </c>
      <c r="B1669" t="s">
        <v>4399</v>
      </c>
      <c r="C1669" t="s">
        <v>6711</v>
      </c>
      <c r="D1669" t="s">
        <v>2780</v>
      </c>
      <c r="E1669" t="s">
        <v>2823</v>
      </c>
      <c r="F1669" t="str">
        <f>"624/668"</f>
        <v>624/668</v>
      </c>
      <c r="G1669" t="s">
        <v>2243</v>
      </c>
      <c r="H1669" t="s">
        <v>6712</v>
      </c>
      <c r="I1669">
        <v>23.93</v>
      </c>
    </row>
    <row r="1670" spans="1:9" ht="12.75">
      <c r="A1670">
        <v>1656</v>
      </c>
      <c r="B1670" t="s">
        <v>2073</v>
      </c>
      <c r="C1670" t="s">
        <v>2861</v>
      </c>
      <c r="D1670" t="s">
        <v>2780</v>
      </c>
      <c r="E1670" t="s">
        <v>2823</v>
      </c>
      <c r="F1670" t="str">
        <f>"625/668"</f>
        <v>625/668</v>
      </c>
      <c r="G1670" t="s">
        <v>2074</v>
      </c>
      <c r="H1670" t="s">
        <v>6713</v>
      </c>
      <c r="I1670">
        <v>23.88</v>
      </c>
    </row>
    <row r="1671" spans="1:9" ht="12.75">
      <c r="A1671">
        <v>1657</v>
      </c>
      <c r="B1671" t="s">
        <v>711</v>
      </c>
      <c r="C1671" t="s">
        <v>3475</v>
      </c>
      <c r="D1671" t="s">
        <v>2780</v>
      </c>
      <c r="E1671" t="s">
        <v>2973</v>
      </c>
      <c r="F1671" t="str">
        <f>"127/147"</f>
        <v>127/147</v>
      </c>
      <c r="G1671" t="s">
        <v>5990</v>
      </c>
      <c r="H1671" t="s">
        <v>6714</v>
      </c>
      <c r="I1671">
        <v>23.87</v>
      </c>
    </row>
    <row r="1672" spans="1:9" ht="12.75">
      <c r="A1672">
        <v>1658</v>
      </c>
      <c r="B1672" t="s">
        <v>6715</v>
      </c>
      <c r="C1672" t="s">
        <v>3665</v>
      </c>
      <c r="D1672" t="s">
        <v>2780</v>
      </c>
      <c r="E1672" t="s">
        <v>2781</v>
      </c>
      <c r="F1672" t="str">
        <f>"337/354"</f>
        <v>337/354</v>
      </c>
      <c r="G1672" t="s">
        <v>1570</v>
      </c>
      <c r="H1672" t="s">
        <v>6716</v>
      </c>
      <c r="I1672">
        <v>23.87</v>
      </c>
    </row>
    <row r="1673" spans="1:9" ht="12.75">
      <c r="A1673">
        <v>1659</v>
      </c>
      <c r="B1673" t="s">
        <v>6717</v>
      </c>
      <c r="C1673" t="s">
        <v>2997</v>
      </c>
      <c r="D1673" t="s">
        <v>2780</v>
      </c>
      <c r="E1673" t="s">
        <v>2823</v>
      </c>
      <c r="F1673" t="str">
        <f>"626/668"</f>
        <v>626/668</v>
      </c>
      <c r="G1673" t="s">
        <v>6679</v>
      </c>
      <c r="H1673" t="s">
        <v>6718</v>
      </c>
      <c r="I1673">
        <v>23.86</v>
      </c>
    </row>
    <row r="1674" spans="1:9" ht="12.75">
      <c r="A1674">
        <v>1660</v>
      </c>
      <c r="B1674" t="s">
        <v>3600</v>
      </c>
      <c r="C1674" t="s">
        <v>1201</v>
      </c>
      <c r="D1674" t="s">
        <v>3031</v>
      </c>
      <c r="E1674" t="s">
        <v>3244</v>
      </c>
      <c r="F1674" t="str">
        <f>"34/40"</f>
        <v>34/40</v>
      </c>
      <c r="G1674" t="s">
        <v>2994</v>
      </c>
      <c r="H1674" t="s">
        <v>6719</v>
      </c>
      <c r="I1674">
        <v>23.84</v>
      </c>
    </row>
    <row r="1675" spans="1:9" ht="12.75">
      <c r="A1675">
        <v>1661</v>
      </c>
      <c r="B1675" t="s">
        <v>6720</v>
      </c>
      <c r="C1675" t="s">
        <v>2836</v>
      </c>
      <c r="D1675" t="s">
        <v>2780</v>
      </c>
      <c r="E1675" t="s">
        <v>2823</v>
      </c>
      <c r="F1675" t="str">
        <f>"627/668"</f>
        <v>627/668</v>
      </c>
      <c r="G1675" t="s">
        <v>6721</v>
      </c>
      <c r="H1675" t="s">
        <v>6722</v>
      </c>
      <c r="I1675">
        <v>23.83</v>
      </c>
    </row>
    <row r="1676" spans="1:9" ht="12.75">
      <c r="A1676">
        <v>1662</v>
      </c>
      <c r="B1676" t="s">
        <v>6723</v>
      </c>
      <c r="C1676" t="s">
        <v>2966</v>
      </c>
      <c r="D1676" t="s">
        <v>2780</v>
      </c>
      <c r="E1676" t="s">
        <v>2818</v>
      </c>
      <c r="F1676" t="str">
        <f>"346/380"</f>
        <v>346/380</v>
      </c>
      <c r="G1676" t="s">
        <v>2877</v>
      </c>
      <c r="H1676" t="s">
        <v>6724</v>
      </c>
      <c r="I1676">
        <v>23.81</v>
      </c>
    </row>
    <row r="1677" spans="1:9" ht="12.75">
      <c r="A1677">
        <v>1663</v>
      </c>
      <c r="B1677" t="s">
        <v>6725</v>
      </c>
      <c r="C1677" t="s">
        <v>2840</v>
      </c>
      <c r="D1677" t="s">
        <v>2780</v>
      </c>
      <c r="E1677" t="s">
        <v>2781</v>
      </c>
      <c r="F1677" t="str">
        <f>"338/354"</f>
        <v>338/354</v>
      </c>
      <c r="G1677" t="s">
        <v>2290</v>
      </c>
      <c r="H1677" t="s">
        <v>6726</v>
      </c>
      <c r="I1677">
        <v>23.81</v>
      </c>
    </row>
    <row r="1678" spans="1:9" ht="12.75">
      <c r="A1678">
        <v>1664</v>
      </c>
      <c r="B1678" t="s">
        <v>6727</v>
      </c>
      <c r="C1678" t="s">
        <v>2966</v>
      </c>
      <c r="D1678" t="s">
        <v>2780</v>
      </c>
      <c r="E1678" t="s">
        <v>2823</v>
      </c>
      <c r="F1678" t="str">
        <f>"628/668"</f>
        <v>628/668</v>
      </c>
      <c r="G1678" t="s">
        <v>6728</v>
      </c>
      <c r="H1678" t="s">
        <v>6729</v>
      </c>
      <c r="I1678">
        <v>23.79</v>
      </c>
    </row>
    <row r="1679" spans="1:9" ht="12.75">
      <c r="A1679">
        <v>1665</v>
      </c>
      <c r="B1679" t="s">
        <v>400</v>
      </c>
      <c r="C1679" t="s">
        <v>17</v>
      </c>
      <c r="D1679" t="s">
        <v>2780</v>
      </c>
      <c r="E1679" t="s">
        <v>2973</v>
      </c>
      <c r="F1679" t="str">
        <f>"128/147"</f>
        <v>128/147</v>
      </c>
      <c r="G1679" t="s">
        <v>4410</v>
      </c>
      <c r="H1679" t="s">
        <v>6730</v>
      </c>
      <c r="I1679">
        <v>23.78</v>
      </c>
    </row>
    <row r="1680" spans="1:9" ht="12.75">
      <c r="A1680">
        <v>1666</v>
      </c>
      <c r="B1680" t="s">
        <v>6731</v>
      </c>
      <c r="C1680" t="s">
        <v>2963</v>
      </c>
      <c r="D1680" t="s">
        <v>2780</v>
      </c>
      <c r="E1680" t="s">
        <v>2818</v>
      </c>
      <c r="F1680" t="str">
        <f>"347/380"</f>
        <v>347/380</v>
      </c>
      <c r="G1680" t="s">
        <v>1834</v>
      </c>
      <c r="H1680" t="s">
        <v>6732</v>
      </c>
      <c r="I1680">
        <v>23.78</v>
      </c>
    </row>
    <row r="1681" spans="1:9" ht="12.75">
      <c r="A1681">
        <v>1667</v>
      </c>
      <c r="B1681" t="s">
        <v>6733</v>
      </c>
      <c r="C1681" t="s">
        <v>2836</v>
      </c>
      <c r="D1681" t="s">
        <v>2780</v>
      </c>
      <c r="E1681" t="s">
        <v>2823</v>
      </c>
      <c r="F1681" t="str">
        <f>"629/668"</f>
        <v>629/668</v>
      </c>
      <c r="G1681" t="s">
        <v>7892</v>
      </c>
      <c r="H1681" t="s">
        <v>6734</v>
      </c>
      <c r="I1681">
        <v>23.77</v>
      </c>
    </row>
    <row r="1682" spans="1:9" ht="12.75">
      <c r="A1682">
        <v>1668</v>
      </c>
      <c r="B1682" t="s">
        <v>371</v>
      </c>
      <c r="C1682" t="s">
        <v>3141</v>
      </c>
      <c r="D1682" t="s">
        <v>2780</v>
      </c>
      <c r="E1682" t="s">
        <v>2823</v>
      </c>
      <c r="F1682" t="str">
        <f>"630/668"</f>
        <v>630/668</v>
      </c>
      <c r="G1682" t="s">
        <v>2290</v>
      </c>
      <c r="H1682" t="s">
        <v>6735</v>
      </c>
      <c r="I1682">
        <v>23.69</v>
      </c>
    </row>
    <row r="1683" spans="1:9" ht="12.75">
      <c r="A1683">
        <v>1669</v>
      </c>
      <c r="B1683" t="s">
        <v>6736</v>
      </c>
      <c r="C1683" t="s">
        <v>6737</v>
      </c>
      <c r="D1683" t="s">
        <v>3031</v>
      </c>
      <c r="E1683" t="s">
        <v>3244</v>
      </c>
      <c r="F1683" t="str">
        <f>"35/40"</f>
        <v>35/40</v>
      </c>
      <c r="G1683" t="s">
        <v>2290</v>
      </c>
      <c r="H1683" t="s">
        <v>6738</v>
      </c>
      <c r="I1683">
        <v>23.69</v>
      </c>
    </row>
    <row r="1684" spans="1:9" ht="12.75">
      <c r="A1684">
        <v>1670</v>
      </c>
      <c r="B1684" t="s">
        <v>6739</v>
      </c>
      <c r="C1684" t="s">
        <v>2931</v>
      </c>
      <c r="D1684" t="s">
        <v>2780</v>
      </c>
      <c r="E1684" t="s">
        <v>2823</v>
      </c>
      <c r="F1684" t="str">
        <f>"631/668"</f>
        <v>631/668</v>
      </c>
      <c r="G1684" t="s">
        <v>5285</v>
      </c>
      <c r="H1684" t="s">
        <v>6740</v>
      </c>
      <c r="I1684">
        <v>23.68</v>
      </c>
    </row>
    <row r="1685" spans="1:9" ht="12.75">
      <c r="A1685">
        <v>1671</v>
      </c>
      <c r="B1685" t="s">
        <v>4346</v>
      </c>
      <c r="C1685" t="s">
        <v>3346</v>
      </c>
      <c r="D1685" t="s">
        <v>2780</v>
      </c>
      <c r="E1685" t="s">
        <v>2818</v>
      </c>
      <c r="F1685" t="str">
        <f>"348/380"</f>
        <v>348/380</v>
      </c>
      <c r="G1685" t="s">
        <v>5285</v>
      </c>
      <c r="H1685" t="s">
        <v>6741</v>
      </c>
      <c r="I1685">
        <v>23.68</v>
      </c>
    </row>
    <row r="1686" spans="1:9" ht="12.75">
      <c r="A1686">
        <v>1672</v>
      </c>
      <c r="B1686" t="s">
        <v>6742</v>
      </c>
      <c r="C1686" t="s">
        <v>6743</v>
      </c>
      <c r="D1686" t="s">
        <v>2780</v>
      </c>
      <c r="E1686" t="s">
        <v>2818</v>
      </c>
      <c r="F1686" t="str">
        <f>"349/380"</f>
        <v>349/380</v>
      </c>
      <c r="G1686" t="s">
        <v>6744</v>
      </c>
      <c r="H1686" t="s">
        <v>6745</v>
      </c>
      <c r="I1686">
        <v>23.64</v>
      </c>
    </row>
    <row r="1687" spans="1:9" ht="12.75">
      <c r="A1687">
        <v>1673</v>
      </c>
      <c r="B1687" t="s">
        <v>6746</v>
      </c>
      <c r="C1687" t="s">
        <v>4901</v>
      </c>
      <c r="D1687" t="s">
        <v>2780</v>
      </c>
      <c r="E1687" t="s">
        <v>2973</v>
      </c>
      <c r="F1687" t="str">
        <f>"129/147"</f>
        <v>129/147</v>
      </c>
      <c r="G1687" t="s">
        <v>6620</v>
      </c>
      <c r="H1687" t="s">
        <v>6747</v>
      </c>
      <c r="I1687">
        <v>23.61</v>
      </c>
    </row>
    <row r="1688" spans="1:9" ht="12.75">
      <c r="A1688">
        <v>1674</v>
      </c>
      <c r="B1688" t="s">
        <v>6748</v>
      </c>
      <c r="C1688" t="s">
        <v>2865</v>
      </c>
      <c r="D1688" t="s">
        <v>2780</v>
      </c>
      <c r="E1688" t="s">
        <v>2823</v>
      </c>
      <c r="F1688" t="str">
        <f>"632/668"</f>
        <v>632/668</v>
      </c>
      <c r="G1688" t="s">
        <v>6749</v>
      </c>
      <c r="H1688" t="s">
        <v>6750</v>
      </c>
      <c r="I1688">
        <v>23.59</v>
      </c>
    </row>
    <row r="1689" spans="1:9" ht="12.75">
      <c r="A1689">
        <v>1675</v>
      </c>
      <c r="B1689" t="s">
        <v>3975</v>
      </c>
      <c r="C1689" t="s">
        <v>2861</v>
      </c>
      <c r="D1689" t="s">
        <v>2780</v>
      </c>
      <c r="E1689" t="s">
        <v>2823</v>
      </c>
      <c r="F1689" t="str">
        <f>"633/668"</f>
        <v>633/668</v>
      </c>
      <c r="G1689" t="s">
        <v>6749</v>
      </c>
      <c r="H1689" t="s">
        <v>6751</v>
      </c>
      <c r="I1689">
        <v>23.58</v>
      </c>
    </row>
    <row r="1690" spans="1:9" ht="12.75">
      <c r="A1690">
        <v>1676</v>
      </c>
      <c r="B1690" t="s">
        <v>6752</v>
      </c>
      <c r="C1690" t="s">
        <v>2861</v>
      </c>
      <c r="D1690" t="s">
        <v>2780</v>
      </c>
      <c r="E1690" t="s">
        <v>2781</v>
      </c>
      <c r="F1690" t="str">
        <f>"339/354"</f>
        <v>339/354</v>
      </c>
      <c r="G1690" t="s">
        <v>6749</v>
      </c>
      <c r="H1690" t="s">
        <v>6753</v>
      </c>
      <c r="I1690">
        <v>23.58</v>
      </c>
    </row>
    <row r="1691" spans="1:9" ht="12.75">
      <c r="A1691">
        <v>1677</v>
      </c>
      <c r="B1691" t="s">
        <v>5155</v>
      </c>
      <c r="C1691" t="s">
        <v>3164</v>
      </c>
      <c r="D1691" t="s">
        <v>2780</v>
      </c>
      <c r="E1691" t="s">
        <v>2823</v>
      </c>
      <c r="F1691" t="str">
        <f>"634/668"</f>
        <v>634/668</v>
      </c>
      <c r="G1691" t="s">
        <v>3875</v>
      </c>
      <c r="H1691" t="s">
        <v>6754</v>
      </c>
      <c r="I1691">
        <v>23.57</v>
      </c>
    </row>
    <row r="1692" spans="1:9" ht="12.75">
      <c r="A1692">
        <v>1678</v>
      </c>
      <c r="B1692" t="s">
        <v>6755</v>
      </c>
      <c r="C1692" t="s">
        <v>3471</v>
      </c>
      <c r="D1692" t="s">
        <v>2780</v>
      </c>
      <c r="E1692" t="s">
        <v>2818</v>
      </c>
      <c r="F1692" t="str">
        <f>"350/380"</f>
        <v>350/380</v>
      </c>
      <c r="G1692" t="s">
        <v>6749</v>
      </c>
      <c r="H1692" t="s">
        <v>6756</v>
      </c>
      <c r="I1692">
        <v>23.57</v>
      </c>
    </row>
    <row r="1693" spans="1:9" ht="12.75">
      <c r="A1693">
        <v>1679</v>
      </c>
      <c r="B1693" t="s">
        <v>6757</v>
      </c>
      <c r="C1693" t="s">
        <v>4588</v>
      </c>
      <c r="D1693" t="s">
        <v>2780</v>
      </c>
      <c r="E1693" t="s">
        <v>2823</v>
      </c>
      <c r="F1693" t="str">
        <f>"635/668"</f>
        <v>635/668</v>
      </c>
      <c r="G1693" t="s">
        <v>7062</v>
      </c>
      <c r="H1693" t="s">
        <v>6758</v>
      </c>
      <c r="I1693">
        <v>23.55</v>
      </c>
    </row>
    <row r="1694" spans="1:9" ht="12.75">
      <c r="A1694">
        <v>1680</v>
      </c>
      <c r="B1694" t="s">
        <v>6759</v>
      </c>
      <c r="C1694" t="s">
        <v>3387</v>
      </c>
      <c r="D1694" t="s">
        <v>2780</v>
      </c>
      <c r="E1694" t="s">
        <v>2823</v>
      </c>
      <c r="F1694" t="str">
        <f>"636/668"</f>
        <v>636/668</v>
      </c>
      <c r="G1694" t="s">
        <v>3303</v>
      </c>
      <c r="H1694" t="s">
        <v>6760</v>
      </c>
      <c r="I1694">
        <v>23.54</v>
      </c>
    </row>
    <row r="1695" spans="1:9" ht="12.75">
      <c r="A1695">
        <v>1681</v>
      </c>
      <c r="B1695" t="s">
        <v>3378</v>
      </c>
      <c r="C1695" t="s">
        <v>2865</v>
      </c>
      <c r="D1695" t="s">
        <v>2780</v>
      </c>
      <c r="E1695" t="s">
        <v>2781</v>
      </c>
      <c r="F1695" t="str">
        <f>"340/354"</f>
        <v>340/354</v>
      </c>
      <c r="G1695" t="s">
        <v>6749</v>
      </c>
      <c r="H1695" t="s">
        <v>6761</v>
      </c>
      <c r="I1695">
        <v>23.54</v>
      </c>
    </row>
    <row r="1696" spans="1:9" ht="12.75">
      <c r="A1696">
        <v>1682</v>
      </c>
      <c r="B1696" t="s">
        <v>5477</v>
      </c>
      <c r="C1696" t="s">
        <v>2865</v>
      </c>
      <c r="D1696" t="s">
        <v>2780</v>
      </c>
      <c r="E1696" t="s">
        <v>2823</v>
      </c>
      <c r="F1696" t="str">
        <f>"637/668"</f>
        <v>637/668</v>
      </c>
      <c r="G1696" t="s">
        <v>6749</v>
      </c>
      <c r="H1696" t="s">
        <v>6762</v>
      </c>
      <c r="I1696">
        <v>23.54</v>
      </c>
    </row>
    <row r="1697" spans="1:9" ht="12.75">
      <c r="A1697">
        <v>1683</v>
      </c>
      <c r="B1697" t="s">
        <v>3227</v>
      </c>
      <c r="C1697" t="s">
        <v>54</v>
      </c>
      <c r="D1697" t="s">
        <v>2780</v>
      </c>
      <c r="E1697" t="s">
        <v>2781</v>
      </c>
      <c r="F1697" t="str">
        <f>"341/354"</f>
        <v>341/354</v>
      </c>
      <c r="G1697" t="s">
        <v>6763</v>
      </c>
      <c r="H1697" t="s">
        <v>6764</v>
      </c>
      <c r="I1697">
        <v>23.54</v>
      </c>
    </row>
    <row r="1698" spans="1:9" ht="12.75">
      <c r="A1698">
        <v>1684</v>
      </c>
      <c r="B1698" t="s">
        <v>3597</v>
      </c>
      <c r="C1698" t="s">
        <v>2865</v>
      </c>
      <c r="D1698" t="s">
        <v>2780</v>
      </c>
      <c r="E1698" t="s">
        <v>2823</v>
      </c>
      <c r="F1698" t="str">
        <f>"638/668"</f>
        <v>638/668</v>
      </c>
      <c r="G1698" t="s">
        <v>377</v>
      </c>
      <c r="H1698" t="s">
        <v>6765</v>
      </c>
      <c r="I1698">
        <v>23.52</v>
      </c>
    </row>
    <row r="1699" spans="1:9" ht="12.75">
      <c r="A1699">
        <v>1685</v>
      </c>
      <c r="B1699" t="s">
        <v>6766</v>
      </c>
      <c r="C1699" t="s">
        <v>2836</v>
      </c>
      <c r="D1699" t="s">
        <v>2780</v>
      </c>
      <c r="E1699" t="s">
        <v>2799</v>
      </c>
      <c r="F1699" t="str">
        <f>"93/100"</f>
        <v>93/100</v>
      </c>
      <c r="G1699" t="s">
        <v>6767</v>
      </c>
      <c r="H1699" t="s">
        <v>6768</v>
      </c>
      <c r="I1699">
        <v>23.52</v>
      </c>
    </row>
    <row r="1700" spans="1:9" ht="12.75">
      <c r="A1700">
        <v>1686</v>
      </c>
      <c r="B1700" t="s">
        <v>6769</v>
      </c>
      <c r="C1700" t="s">
        <v>330</v>
      </c>
      <c r="D1700" t="s">
        <v>3031</v>
      </c>
      <c r="E1700" t="s">
        <v>3244</v>
      </c>
      <c r="F1700" t="str">
        <f>"36/40"</f>
        <v>36/40</v>
      </c>
      <c r="G1700" t="s">
        <v>7892</v>
      </c>
      <c r="H1700" t="s">
        <v>6770</v>
      </c>
      <c r="I1700">
        <v>23.49</v>
      </c>
    </row>
    <row r="1701" spans="1:9" ht="12.75">
      <c r="A1701">
        <v>1687</v>
      </c>
      <c r="B1701" t="s">
        <v>6771</v>
      </c>
      <c r="C1701" t="s">
        <v>2861</v>
      </c>
      <c r="D1701" t="s">
        <v>2780</v>
      </c>
      <c r="E1701" t="s">
        <v>2823</v>
      </c>
      <c r="F1701" t="str">
        <f>"639/668"</f>
        <v>639/668</v>
      </c>
      <c r="G1701" t="s">
        <v>6749</v>
      </c>
      <c r="H1701" t="s">
        <v>6772</v>
      </c>
      <c r="I1701">
        <v>23.49</v>
      </c>
    </row>
    <row r="1702" spans="1:9" ht="12.75">
      <c r="A1702">
        <v>1688</v>
      </c>
      <c r="B1702" t="s">
        <v>6773</v>
      </c>
      <c r="C1702" t="s">
        <v>5422</v>
      </c>
      <c r="D1702" t="s">
        <v>2780</v>
      </c>
      <c r="E1702" t="s">
        <v>2818</v>
      </c>
      <c r="F1702" t="str">
        <f>"351/380"</f>
        <v>351/380</v>
      </c>
      <c r="G1702" t="s">
        <v>2982</v>
      </c>
      <c r="H1702" t="s">
        <v>6774</v>
      </c>
      <c r="I1702">
        <v>23.47</v>
      </c>
    </row>
    <row r="1703" spans="1:9" ht="12.75">
      <c r="A1703">
        <v>1689</v>
      </c>
      <c r="B1703" t="s">
        <v>6775</v>
      </c>
      <c r="C1703" t="s">
        <v>2779</v>
      </c>
      <c r="D1703" t="s">
        <v>2780</v>
      </c>
      <c r="E1703" t="s">
        <v>2799</v>
      </c>
      <c r="F1703" t="str">
        <f>"94/100"</f>
        <v>94/100</v>
      </c>
      <c r="G1703" t="s">
        <v>6776</v>
      </c>
      <c r="H1703" t="s">
        <v>6777</v>
      </c>
      <c r="I1703">
        <v>23.47</v>
      </c>
    </row>
    <row r="1704" spans="1:9" ht="12.75">
      <c r="A1704">
        <v>1690</v>
      </c>
      <c r="B1704" t="s">
        <v>6778</v>
      </c>
      <c r="C1704" t="s">
        <v>615</v>
      </c>
      <c r="D1704" t="s">
        <v>2780</v>
      </c>
      <c r="E1704" t="s">
        <v>2823</v>
      </c>
      <c r="F1704" t="str">
        <f>"640/668"</f>
        <v>640/668</v>
      </c>
      <c r="G1704" t="s">
        <v>2290</v>
      </c>
      <c r="H1704" t="s">
        <v>6779</v>
      </c>
      <c r="I1704">
        <v>23.44</v>
      </c>
    </row>
    <row r="1705" spans="1:9" ht="12.75">
      <c r="A1705">
        <v>1691</v>
      </c>
      <c r="B1705" t="s">
        <v>2843</v>
      </c>
      <c r="C1705" t="s">
        <v>3114</v>
      </c>
      <c r="D1705" t="s">
        <v>2780</v>
      </c>
      <c r="E1705" t="s">
        <v>2781</v>
      </c>
      <c r="F1705" t="str">
        <f>"342/354"</f>
        <v>342/354</v>
      </c>
      <c r="G1705" t="s">
        <v>6780</v>
      </c>
      <c r="H1705" t="s">
        <v>6781</v>
      </c>
      <c r="I1705">
        <v>23.43</v>
      </c>
    </row>
    <row r="1706" spans="1:9" ht="12.75">
      <c r="A1706">
        <v>1692</v>
      </c>
      <c r="B1706" t="s">
        <v>6782</v>
      </c>
      <c r="C1706" t="s">
        <v>3045</v>
      </c>
      <c r="D1706" t="s">
        <v>2780</v>
      </c>
      <c r="E1706" t="s">
        <v>2823</v>
      </c>
      <c r="F1706" t="str">
        <f>"641/668"</f>
        <v>641/668</v>
      </c>
      <c r="G1706" t="s">
        <v>7362</v>
      </c>
      <c r="H1706" t="s">
        <v>6783</v>
      </c>
      <c r="I1706">
        <v>23.42</v>
      </c>
    </row>
    <row r="1707" spans="1:9" ht="12.75">
      <c r="A1707">
        <v>1693</v>
      </c>
      <c r="B1707" t="s">
        <v>6784</v>
      </c>
      <c r="C1707" t="s">
        <v>6785</v>
      </c>
      <c r="D1707" t="s">
        <v>2780</v>
      </c>
      <c r="E1707" t="s">
        <v>2973</v>
      </c>
      <c r="F1707" t="str">
        <f>"130/147"</f>
        <v>130/147</v>
      </c>
      <c r="G1707" t="s">
        <v>5214</v>
      </c>
      <c r="H1707" t="s">
        <v>6786</v>
      </c>
      <c r="I1707">
        <v>23.38</v>
      </c>
    </row>
    <row r="1708" spans="1:9" ht="12.75">
      <c r="A1708">
        <v>1694</v>
      </c>
      <c r="B1708" t="s">
        <v>6787</v>
      </c>
      <c r="C1708" t="s">
        <v>5564</v>
      </c>
      <c r="D1708" t="s">
        <v>2780</v>
      </c>
      <c r="E1708" t="s">
        <v>2818</v>
      </c>
      <c r="F1708" t="str">
        <f>"352/380"</f>
        <v>352/380</v>
      </c>
      <c r="G1708" t="s">
        <v>5436</v>
      </c>
      <c r="H1708" t="s">
        <v>6788</v>
      </c>
      <c r="I1708">
        <v>23.36</v>
      </c>
    </row>
    <row r="1709" spans="1:9" ht="12.75">
      <c r="A1709">
        <v>1695</v>
      </c>
      <c r="B1709" t="s">
        <v>6789</v>
      </c>
      <c r="C1709" t="s">
        <v>2895</v>
      </c>
      <c r="D1709" t="s">
        <v>2780</v>
      </c>
      <c r="E1709" t="s">
        <v>2823</v>
      </c>
      <c r="F1709" t="str">
        <f>"642/668"</f>
        <v>642/668</v>
      </c>
      <c r="G1709" t="s">
        <v>2045</v>
      </c>
      <c r="H1709" t="s">
        <v>6790</v>
      </c>
      <c r="I1709">
        <v>23.34</v>
      </c>
    </row>
    <row r="1710" spans="1:9" ht="12.75">
      <c r="A1710">
        <v>1696</v>
      </c>
      <c r="B1710" t="s">
        <v>6338</v>
      </c>
      <c r="C1710" t="s">
        <v>2895</v>
      </c>
      <c r="D1710" t="s">
        <v>2780</v>
      </c>
      <c r="E1710" t="s">
        <v>2781</v>
      </c>
      <c r="F1710" t="str">
        <f>"343/354"</f>
        <v>343/354</v>
      </c>
      <c r="G1710" t="s">
        <v>6749</v>
      </c>
      <c r="H1710" t="s">
        <v>6791</v>
      </c>
      <c r="I1710">
        <v>23.29</v>
      </c>
    </row>
    <row r="1711" spans="1:9" ht="12.75">
      <c r="A1711">
        <v>1697</v>
      </c>
      <c r="B1711" t="s">
        <v>6792</v>
      </c>
      <c r="C1711" t="s">
        <v>2865</v>
      </c>
      <c r="D1711" t="s">
        <v>2780</v>
      </c>
      <c r="E1711" t="s">
        <v>2818</v>
      </c>
      <c r="F1711" t="str">
        <f>"353/380"</f>
        <v>353/380</v>
      </c>
      <c r="G1711" t="s">
        <v>6749</v>
      </c>
      <c r="H1711" t="s">
        <v>6793</v>
      </c>
      <c r="I1711">
        <v>23.29</v>
      </c>
    </row>
    <row r="1712" spans="1:9" ht="12.75">
      <c r="A1712">
        <v>1698</v>
      </c>
      <c r="B1712" t="s">
        <v>6794</v>
      </c>
      <c r="C1712" t="s">
        <v>2861</v>
      </c>
      <c r="D1712" t="s">
        <v>2780</v>
      </c>
      <c r="E1712" t="s">
        <v>2781</v>
      </c>
      <c r="F1712" t="str">
        <f>"344/354"</f>
        <v>344/354</v>
      </c>
      <c r="G1712" t="s">
        <v>724</v>
      </c>
      <c r="H1712" t="s">
        <v>6795</v>
      </c>
      <c r="I1712">
        <v>23.28</v>
      </c>
    </row>
    <row r="1713" spans="1:9" ht="12.75">
      <c r="A1713">
        <v>1699</v>
      </c>
      <c r="B1713" t="s">
        <v>2797</v>
      </c>
      <c r="C1713" t="s">
        <v>341</v>
      </c>
      <c r="D1713" t="s">
        <v>2780</v>
      </c>
      <c r="E1713" t="s">
        <v>2781</v>
      </c>
      <c r="F1713" t="str">
        <f>"345/354"</f>
        <v>345/354</v>
      </c>
      <c r="G1713" t="s">
        <v>724</v>
      </c>
      <c r="H1713" t="s">
        <v>6796</v>
      </c>
      <c r="I1713">
        <v>23.27</v>
      </c>
    </row>
    <row r="1714" spans="1:9" ht="12.75">
      <c r="A1714">
        <v>1700</v>
      </c>
      <c r="B1714" t="s">
        <v>6797</v>
      </c>
      <c r="C1714" t="s">
        <v>5136</v>
      </c>
      <c r="D1714" t="s">
        <v>2780</v>
      </c>
      <c r="E1714" t="s">
        <v>2823</v>
      </c>
      <c r="F1714" t="str">
        <f>"643/668"</f>
        <v>643/668</v>
      </c>
      <c r="G1714" t="s">
        <v>6749</v>
      </c>
      <c r="H1714" t="s">
        <v>6798</v>
      </c>
      <c r="I1714">
        <v>23.27</v>
      </c>
    </row>
    <row r="1715" spans="1:9" ht="12.75">
      <c r="A1715">
        <v>1701</v>
      </c>
      <c r="B1715" t="s">
        <v>6799</v>
      </c>
      <c r="C1715" t="s">
        <v>3201</v>
      </c>
      <c r="D1715" t="s">
        <v>2780</v>
      </c>
      <c r="E1715" t="s">
        <v>2799</v>
      </c>
      <c r="F1715" t="str">
        <f>"95/100"</f>
        <v>95/100</v>
      </c>
      <c r="G1715" t="s">
        <v>6800</v>
      </c>
      <c r="H1715" t="s">
        <v>6801</v>
      </c>
      <c r="I1715">
        <v>23.25</v>
      </c>
    </row>
    <row r="1716" spans="1:9" ht="12.75">
      <c r="A1716">
        <v>1702</v>
      </c>
      <c r="B1716" t="s">
        <v>5067</v>
      </c>
      <c r="C1716" t="s">
        <v>3174</v>
      </c>
      <c r="D1716" t="s">
        <v>2780</v>
      </c>
      <c r="E1716" t="s">
        <v>2799</v>
      </c>
      <c r="F1716" t="str">
        <f>"96/100"</f>
        <v>96/100</v>
      </c>
      <c r="G1716" t="s">
        <v>6800</v>
      </c>
      <c r="H1716" t="s">
        <v>6802</v>
      </c>
      <c r="I1716">
        <v>23.23</v>
      </c>
    </row>
    <row r="1717" spans="1:9" ht="12.75">
      <c r="A1717">
        <v>1703</v>
      </c>
      <c r="B1717" t="s">
        <v>1586</v>
      </c>
      <c r="C1717" t="s">
        <v>191</v>
      </c>
      <c r="D1717" t="s">
        <v>2780</v>
      </c>
      <c r="E1717" t="s">
        <v>2818</v>
      </c>
      <c r="F1717" t="str">
        <f>"354/380"</f>
        <v>354/380</v>
      </c>
      <c r="G1717" t="s">
        <v>5052</v>
      </c>
      <c r="H1717" t="s">
        <v>6803</v>
      </c>
      <c r="I1717">
        <v>23.23</v>
      </c>
    </row>
    <row r="1718" spans="1:9" ht="12.75">
      <c r="A1718">
        <v>1704</v>
      </c>
      <c r="B1718" t="s">
        <v>6804</v>
      </c>
      <c r="C1718" t="s">
        <v>2857</v>
      </c>
      <c r="D1718" t="s">
        <v>2780</v>
      </c>
      <c r="E1718" t="s">
        <v>2973</v>
      </c>
      <c r="F1718" t="str">
        <f>"131/147"</f>
        <v>131/147</v>
      </c>
      <c r="G1718" t="s">
        <v>6805</v>
      </c>
      <c r="H1718" t="s">
        <v>6806</v>
      </c>
      <c r="I1718">
        <v>23.22</v>
      </c>
    </row>
    <row r="1719" spans="1:9" ht="12.75">
      <c r="A1719">
        <v>1705</v>
      </c>
      <c r="B1719" t="s">
        <v>1159</v>
      </c>
      <c r="C1719" t="s">
        <v>3205</v>
      </c>
      <c r="D1719" t="s">
        <v>2780</v>
      </c>
      <c r="E1719" t="s">
        <v>2786</v>
      </c>
      <c r="F1719" t="str">
        <f>"43/44"</f>
        <v>43/44</v>
      </c>
      <c r="G1719" t="s">
        <v>3570</v>
      </c>
      <c r="H1719" t="s">
        <v>6807</v>
      </c>
      <c r="I1719">
        <v>23.18</v>
      </c>
    </row>
    <row r="1720" spans="1:9" ht="12.75">
      <c r="A1720">
        <v>1706</v>
      </c>
      <c r="B1720" t="s">
        <v>585</v>
      </c>
      <c r="C1720" t="s">
        <v>54</v>
      </c>
      <c r="D1720" t="s">
        <v>2780</v>
      </c>
      <c r="E1720" t="s">
        <v>2818</v>
      </c>
      <c r="F1720" t="str">
        <f>"355/380"</f>
        <v>355/380</v>
      </c>
      <c r="G1720" t="s">
        <v>1561</v>
      </c>
      <c r="H1720" t="s">
        <v>6808</v>
      </c>
      <c r="I1720">
        <v>23.18</v>
      </c>
    </row>
    <row r="1721" spans="1:9" ht="12.75">
      <c r="A1721">
        <v>1707</v>
      </c>
      <c r="B1721" t="s">
        <v>2278</v>
      </c>
      <c r="C1721" t="s">
        <v>3057</v>
      </c>
      <c r="D1721" t="s">
        <v>2780</v>
      </c>
      <c r="E1721" t="s">
        <v>2973</v>
      </c>
      <c r="F1721" t="str">
        <f>"132/147"</f>
        <v>132/147</v>
      </c>
      <c r="G1721" t="s">
        <v>3570</v>
      </c>
      <c r="H1721" t="s">
        <v>6809</v>
      </c>
      <c r="I1721">
        <v>23.17</v>
      </c>
    </row>
    <row r="1722" spans="1:9" ht="12.75">
      <c r="A1722">
        <v>1708</v>
      </c>
      <c r="B1722" t="s">
        <v>7417</v>
      </c>
      <c r="C1722" t="s">
        <v>1011</v>
      </c>
      <c r="D1722" t="s">
        <v>2780</v>
      </c>
      <c r="E1722" t="s">
        <v>2973</v>
      </c>
      <c r="F1722" t="str">
        <f>"133/147"</f>
        <v>133/147</v>
      </c>
      <c r="G1722" t="s">
        <v>3570</v>
      </c>
      <c r="H1722" t="s">
        <v>6810</v>
      </c>
      <c r="I1722">
        <v>23.16</v>
      </c>
    </row>
    <row r="1723" spans="1:9" ht="12.75">
      <c r="A1723">
        <v>1709</v>
      </c>
      <c r="B1723" t="s">
        <v>6811</v>
      </c>
      <c r="C1723" t="s">
        <v>3057</v>
      </c>
      <c r="D1723" t="s">
        <v>2780</v>
      </c>
      <c r="E1723" t="s">
        <v>2973</v>
      </c>
      <c r="F1723" t="str">
        <f>"134/147"</f>
        <v>134/147</v>
      </c>
      <c r="G1723" t="s">
        <v>2243</v>
      </c>
      <c r="H1723" t="s">
        <v>6812</v>
      </c>
      <c r="I1723">
        <v>23.16</v>
      </c>
    </row>
    <row r="1724" spans="1:9" ht="12.75">
      <c r="A1724">
        <v>1710</v>
      </c>
      <c r="B1724" t="s">
        <v>6813</v>
      </c>
      <c r="C1724" t="s">
        <v>2814</v>
      </c>
      <c r="D1724" t="s">
        <v>2780</v>
      </c>
      <c r="E1724" t="s">
        <v>2823</v>
      </c>
      <c r="F1724" t="str">
        <f>"644/668"</f>
        <v>644/668</v>
      </c>
      <c r="G1724" t="s">
        <v>3570</v>
      </c>
      <c r="H1724" t="s">
        <v>6814</v>
      </c>
      <c r="I1724">
        <v>23.15</v>
      </c>
    </row>
    <row r="1725" spans="1:9" ht="12.75">
      <c r="A1725">
        <v>1711</v>
      </c>
      <c r="B1725" t="s">
        <v>3336</v>
      </c>
      <c r="C1725" t="s">
        <v>6815</v>
      </c>
      <c r="D1725" t="s">
        <v>3031</v>
      </c>
      <c r="E1725" t="s">
        <v>3244</v>
      </c>
      <c r="F1725" t="str">
        <f>"37/40"</f>
        <v>37/40</v>
      </c>
      <c r="G1725" t="s">
        <v>3570</v>
      </c>
      <c r="H1725" t="s">
        <v>6816</v>
      </c>
      <c r="I1725">
        <v>23.15</v>
      </c>
    </row>
    <row r="1726" spans="1:9" ht="12.75">
      <c r="A1726">
        <v>1712</v>
      </c>
      <c r="B1726" t="s">
        <v>7727</v>
      </c>
      <c r="C1726" t="s">
        <v>43</v>
      </c>
      <c r="D1726" t="s">
        <v>2780</v>
      </c>
      <c r="E1726" t="s">
        <v>2818</v>
      </c>
      <c r="F1726" t="str">
        <f>"356/380"</f>
        <v>356/380</v>
      </c>
      <c r="G1726" t="s">
        <v>7362</v>
      </c>
      <c r="H1726" t="s">
        <v>6817</v>
      </c>
      <c r="I1726">
        <v>23.15</v>
      </c>
    </row>
    <row r="1727" spans="1:9" ht="12.75">
      <c r="A1727">
        <v>1713</v>
      </c>
      <c r="B1727" t="s">
        <v>5051</v>
      </c>
      <c r="C1727" t="s">
        <v>1779</v>
      </c>
      <c r="D1727" t="s">
        <v>3031</v>
      </c>
      <c r="E1727" t="s">
        <v>3244</v>
      </c>
      <c r="F1727" t="str">
        <f>"38/40"</f>
        <v>38/40</v>
      </c>
      <c r="G1727" t="s">
        <v>3570</v>
      </c>
      <c r="H1727" t="s">
        <v>6818</v>
      </c>
      <c r="I1727">
        <v>23.14</v>
      </c>
    </row>
    <row r="1728" spans="1:9" ht="12.75">
      <c r="A1728">
        <v>1714</v>
      </c>
      <c r="B1728" t="s">
        <v>6819</v>
      </c>
      <c r="C1728" t="s">
        <v>3346</v>
      </c>
      <c r="D1728" t="s">
        <v>2780</v>
      </c>
      <c r="E1728" t="s">
        <v>2818</v>
      </c>
      <c r="F1728" t="str">
        <f>"357/380"</f>
        <v>357/380</v>
      </c>
      <c r="G1728" t="s">
        <v>2537</v>
      </c>
      <c r="H1728" t="s">
        <v>6820</v>
      </c>
      <c r="I1728">
        <v>23.14</v>
      </c>
    </row>
    <row r="1729" spans="1:9" ht="12.75">
      <c r="A1729">
        <v>1715</v>
      </c>
      <c r="B1729" t="s">
        <v>105</v>
      </c>
      <c r="C1729" t="s">
        <v>2840</v>
      </c>
      <c r="D1729" t="s">
        <v>2780</v>
      </c>
      <c r="E1729" t="s">
        <v>2818</v>
      </c>
      <c r="F1729" t="str">
        <f>"358/380"</f>
        <v>358/380</v>
      </c>
      <c r="G1729" t="s">
        <v>2243</v>
      </c>
      <c r="H1729" t="s">
        <v>6821</v>
      </c>
      <c r="I1729">
        <v>23.13</v>
      </c>
    </row>
    <row r="1730" spans="1:9" ht="12.75">
      <c r="A1730">
        <v>1716</v>
      </c>
      <c r="B1730" t="s">
        <v>6822</v>
      </c>
      <c r="C1730" t="s">
        <v>3387</v>
      </c>
      <c r="D1730" t="s">
        <v>2780</v>
      </c>
      <c r="E1730" t="s">
        <v>2781</v>
      </c>
      <c r="F1730" t="str">
        <f>"346/354"</f>
        <v>346/354</v>
      </c>
      <c r="G1730" t="s">
        <v>3570</v>
      </c>
      <c r="H1730" t="s">
        <v>6823</v>
      </c>
      <c r="I1730">
        <v>23.12</v>
      </c>
    </row>
    <row r="1731" spans="1:9" ht="12.75">
      <c r="A1731">
        <v>1717</v>
      </c>
      <c r="B1731" t="s">
        <v>1068</v>
      </c>
      <c r="C1731" t="s">
        <v>7340</v>
      </c>
      <c r="D1731" t="s">
        <v>2780</v>
      </c>
      <c r="E1731" t="s">
        <v>2823</v>
      </c>
      <c r="F1731" t="str">
        <f>"645/668"</f>
        <v>645/668</v>
      </c>
      <c r="G1731" t="s">
        <v>3570</v>
      </c>
      <c r="H1731" t="s">
        <v>6824</v>
      </c>
      <c r="I1731">
        <v>23.12</v>
      </c>
    </row>
    <row r="1732" spans="1:9" ht="12.75">
      <c r="A1732">
        <v>1718</v>
      </c>
      <c r="B1732" t="s">
        <v>3225</v>
      </c>
      <c r="C1732" t="s">
        <v>2840</v>
      </c>
      <c r="D1732" t="s">
        <v>2780</v>
      </c>
      <c r="E1732" t="s">
        <v>2781</v>
      </c>
      <c r="F1732" t="str">
        <f>"347/354"</f>
        <v>347/354</v>
      </c>
      <c r="G1732" t="s">
        <v>3570</v>
      </c>
      <c r="H1732" t="s">
        <v>6825</v>
      </c>
      <c r="I1732">
        <v>23.11</v>
      </c>
    </row>
    <row r="1733" spans="1:9" ht="12.75">
      <c r="A1733">
        <v>1719</v>
      </c>
      <c r="B1733" t="s">
        <v>6826</v>
      </c>
      <c r="C1733" t="s">
        <v>2942</v>
      </c>
      <c r="D1733" t="s">
        <v>2780</v>
      </c>
      <c r="E1733" t="s">
        <v>2973</v>
      </c>
      <c r="F1733" t="str">
        <f>"135/147"</f>
        <v>135/147</v>
      </c>
      <c r="G1733" t="s">
        <v>3570</v>
      </c>
      <c r="H1733" t="s">
        <v>6827</v>
      </c>
      <c r="I1733">
        <v>23.1</v>
      </c>
    </row>
    <row r="1734" spans="1:9" ht="12.75">
      <c r="A1734">
        <v>1720</v>
      </c>
      <c r="B1734" t="s">
        <v>6828</v>
      </c>
      <c r="C1734" t="s">
        <v>2861</v>
      </c>
      <c r="D1734" t="s">
        <v>2780</v>
      </c>
      <c r="E1734" t="s">
        <v>2781</v>
      </c>
      <c r="F1734" t="str">
        <f>"348/354"</f>
        <v>348/354</v>
      </c>
      <c r="G1734" t="s">
        <v>3570</v>
      </c>
      <c r="H1734" t="s">
        <v>6829</v>
      </c>
      <c r="I1734">
        <v>23.1</v>
      </c>
    </row>
    <row r="1735" spans="1:9" ht="12.75">
      <c r="A1735">
        <v>1721</v>
      </c>
      <c r="B1735" t="s">
        <v>6830</v>
      </c>
      <c r="C1735" t="s">
        <v>6831</v>
      </c>
      <c r="D1735" t="s">
        <v>2780</v>
      </c>
      <c r="E1735" t="s">
        <v>2823</v>
      </c>
      <c r="F1735" t="str">
        <f>"646/668"</f>
        <v>646/668</v>
      </c>
      <c r="G1735" t="s">
        <v>6776</v>
      </c>
      <c r="H1735" t="s">
        <v>6832</v>
      </c>
      <c r="I1735">
        <v>23.06</v>
      </c>
    </row>
    <row r="1736" spans="1:9" ht="12.75">
      <c r="A1736">
        <v>1722</v>
      </c>
      <c r="B1736" t="s">
        <v>6833</v>
      </c>
      <c r="C1736" t="s">
        <v>3008</v>
      </c>
      <c r="D1736" t="s">
        <v>2780</v>
      </c>
      <c r="E1736" t="s">
        <v>2799</v>
      </c>
      <c r="F1736" t="str">
        <f>"97/100"</f>
        <v>97/100</v>
      </c>
      <c r="G1736" t="s">
        <v>6776</v>
      </c>
      <c r="H1736" t="s">
        <v>6834</v>
      </c>
      <c r="I1736">
        <v>23.06</v>
      </c>
    </row>
    <row r="1737" spans="1:9" ht="12.75">
      <c r="A1737">
        <v>1723</v>
      </c>
      <c r="B1737" t="s">
        <v>6835</v>
      </c>
      <c r="C1737" t="s">
        <v>3464</v>
      </c>
      <c r="D1737" t="s">
        <v>2780</v>
      </c>
      <c r="E1737" t="s">
        <v>2818</v>
      </c>
      <c r="F1737" t="str">
        <f>"359/380"</f>
        <v>359/380</v>
      </c>
      <c r="G1737" t="s">
        <v>6836</v>
      </c>
      <c r="H1737" t="s">
        <v>6837</v>
      </c>
      <c r="I1737">
        <v>23.03</v>
      </c>
    </row>
    <row r="1738" spans="1:9" ht="12.75">
      <c r="A1738">
        <v>1724</v>
      </c>
      <c r="B1738" t="s">
        <v>6838</v>
      </c>
      <c r="C1738" t="s">
        <v>6839</v>
      </c>
      <c r="D1738" t="s">
        <v>2780</v>
      </c>
      <c r="E1738" t="s">
        <v>2781</v>
      </c>
      <c r="F1738" t="str">
        <f>"349/354"</f>
        <v>349/354</v>
      </c>
      <c r="G1738" t="s">
        <v>724</v>
      </c>
      <c r="H1738" t="s">
        <v>6840</v>
      </c>
      <c r="I1738">
        <v>23.01</v>
      </c>
    </row>
    <row r="1739" spans="1:9" ht="12.75">
      <c r="A1739">
        <v>1725</v>
      </c>
      <c r="B1739" t="s">
        <v>6841</v>
      </c>
      <c r="C1739" t="s">
        <v>2861</v>
      </c>
      <c r="D1739" t="s">
        <v>2780</v>
      </c>
      <c r="E1739" t="s">
        <v>2823</v>
      </c>
      <c r="F1739" t="str">
        <f>"647/668"</f>
        <v>647/668</v>
      </c>
      <c r="G1739" t="s">
        <v>6842</v>
      </c>
      <c r="H1739" t="s">
        <v>6843</v>
      </c>
      <c r="I1739">
        <v>23.01</v>
      </c>
    </row>
    <row r="1740" spans="1:9" ht="12.75">
      <c r="A1740">
        <v>1726</v>
      </c>
      <c r="B1740" t="s">
        <v>6844</v>
      </c>
      <c r="C1740" t="s">
        <v>2865</v>
      </c>
      <c r="D1740" t="s">
        <v>2780</v>
      </c>
      <c r="E1740" t="s">
        <v>2973</v>
      </c>
      <c r="F1740" t="str">
        <f>"136/147"</f>
        <v>136/147</v>
      </c>
      <c r="G1740" t="s">
        <v>6845</v>
      </c>
      <c r="H1740" t="s">
        <v>6846</v>
      </c>
      <c r="I1740">
        <v>22.95</v>
      </c>
    </row>
    <row r="1741" spans="1:9" ht="12.75">
      <c r="A1741">
        <v>1727</v>
      </c>
      <c r="B1741" t="s">
        <v>6847</v>
      </c>
      <c r="C1741" t="s">
        <v>2857</v>
      </c>
      <c r="D1741" t="s">
        <v>2780</v>
      </c>
      <c r="E1741" t="s">
        <v>2818</v>
      </c>
      <c r="F1741" t="str">
        <f>"360/380"</f>
        <v>360/380</v>
      </c>
      <c r="G1741" t="s">
        <v>6848</v>
      </c>
      <c r="H1741" t="s">
        <v>6849</v>
      </c>
      <c r="I1741">
        <v>22.95</v>
      </c>
    </row>
    <row r="1742" spans="1:9" ht="12.75">
      <c r="A1742">
        <v>1728</v>
      </c>
      <c r="B1742" t="s">
        <v>6850</v>
      </c>
      <c r="C1742" t="s">
        <v>3114</v>
      </c>
      <c r="D1742" t="s">
        <v>2780</v>
      </c>
      <c r="E1742" t="s">
        <v>2799</v>
      </c>
      <c r="F1742" t="str">
        <f>"98/100"</f>
        <v>98/100</v>
      </c>
      <c r="G1742" t="s">
        <v>6851</v>
      </c>
      <c r="H1742" t="s">
        <v>6852</v>
      </c>
      <c r="I1742">
        <v>22.93</v>
      </c>
    </row>
    <row r="1743" spans="1:9" ht="12.75">
      <c r="A1743">
        <v>1729</v>
      </c>
      <c r="B1743" t="s">
        <v>6853</v>
      </c>
      <c r="C1743" t="s">
        <v>335</v>
      </c>
      <c r="D1743" t="s">
        <v>2780</v>
      </c>
      <c r="E1743" t="s">
        <v>2823</v>
      </c>
      <c r="F1743" t="str">
        <f>"648/668"</f>
        <v>648/668</v>
      </c>
      <c r="G1743" t="s">
        <v>6851</v>
      </c>
      <c r="H1743" t="s">
        <v>6854</v>
      </c>
      <c r="I1743">
        <v>22.92</v>
      </c>
    </row>
    <row r="1744" spans="1:9" ht="12.75">
      <c r="A1744">
        <v>1730</v>
      </c>
      <c r="B1744" t="s">
        <v>6855</v>
      </c>
      <c r="C1744" t="s">
        <v>3554</v>
      </c>
      <c r="D1744" t="s">
        <v>2780</v>
      </c>
      <c r="E1744" t="s">
        <v>2823</v>
      </c>
      <c r="F1744" t="str">
        <f>"649/668"</f>
        <v>649/668</v>
      </c>
      <c r="G1744" t="s">
        <v>6851</v>
      </c>
      <c r="H1744" t="s">
        <v>6856</v>
      </c>
      <c r="I1744">
        <v>22.92</v>
      </c>
    </row>
    <row r="1745" spans="1:9" ht="12.75">
      <c r="A1745">
        <v>1731</v>
      </c>
      <c r="B1745" t="s">
        <v>6857</v>
      </c>
      <c r="C1745" t="s">
        <v>3057</v>
      </c>
      <c r="D1745" t="s">
        <v>2780</v>
      </c>
      <c r="E1745" t="s">
        <v>2818</v>
      </c>
      <c r="F1745" t="str">
        <f>"361/380"</f>
        <v>361/380</v>
      </c>
      <c r="G1745" t="s">
        <v>6851</v>
      </c>
      <c r="H1745" t="s">
        <v>6858</v>
      </c>
      <c r="I1745">
        <v>22.92</v>
      </c>
    </row>
    <row r="1746" spans="1:9" ht="12.75">
      <c r="A1746">
        <v>1732</v>
      </c>
      <c r="B1746" t="s">
        <v>1960</v>
      </c>
      <c r="C1746" t="s">
        <v>3164</v>
      </c>
      <c r="D1746" t="s">
        <v>2780</v>
      </c>
      <c r="E1746" t="s">
        <v>2823</v>
      </c>
      <c r="F1746" t="str">
        <f>"650/668"</f>
        <v>650/668</v>
      </c>
      <c r="G1746" t="s">
        <v>6851</v>
      </c>
      <c r="H1746" t="s">
        <v>6859</v>
      </c>
      <c r="I1746">
        <v>22.92</v>
      </c>
    </row>
    <row r="1747" spans="1:9" ht="12.75">
      <c r="A1747">
        <v>1733</v>
      </c>
      <c r="B1747" t="s">
        <v>6860</v>
      </c>
      <c r="C1747" t="s">
        <v>3087</v>
      </c>
      <c r="D1747" t="s">
        <v>2780</v>
      </c>
      <c r="E1747" t="s">
        <v>2823</v>
      </c>
      <c r="F1747" t="str">
        <f>"651/668"</f>
        <v>651/668</v>
      </c>
      <c r="G1747" t="s">
        <v>6851</v>
      </c>
      <c r="H1747" t="s">
        <v>6861</v>
      </c>
      <c r="I1747">
        <v>22.92</v>
      </c>
    </row>
    <row r="1748" spans="1:9" ht="12.75">
      <c r="A1748">
        <v>1734</v>
      </c>
      <c r="B1748" t="s">
        <v>6862</v>
      </c>
      <c r="C1748" t="s">
        <v>3141</v>
      </c>
      <c r="D1748" t="s">
        <v>2780</v>
      </c>
      <c r="E1748" t="s">
        <v>2799</v>
      </c>
      <c r="F1748" t="str">
        <f>"99/100"</f>
        <v>99/100</v>
      </c>
      <c r="G1748" t="s">
        <v>6851</v>
      </c>
      <c r="H1748" t="s">
        <v>6863</v>
      </c>
      <c r="I1748">
        <v>22.92</v>
      </c>
    </row>
    <row r="1749" spans="1:9" ht="12.75">
      <c r="A1749">
        <v>1735</v>
      </c>
      <c r="B1749" t="s">
        <v>6864</v>
      </c>
      <c r="C1749" t="s">
        <v>3108</v>
      </c>
      <c r="D1749" t="s">
        <v>2780</v>
      </c>
      <c r="E1749" t="s">
        <v>2973</v>
      </c>
      <c r="F1749" t="str">
        <f>"137/147"</f>
        <v>137/147</v>
      </c>
      <c r="G1749" t="s">
        <v>3261</v>
      </c>
      <c r="H1749" t="s">
        <v>6865</v>
      </c>
      <c r="I1749">
        <v>22.91</v>
      </c>
    </row>
    <row r="1750" spans="1:9" ht="12.75">
      <c r="A1750">
        <v>1736</v>
      </c>
      <c r="B1750" t="s">
        <v>6850</v>
      </c>
      <c r="C1750" t="s">
        <v>2861</v>
      </c>
      <c r="D1750" t="s">
        <v>2780</v>
      </c>
      <c r="E1750" t="s">
        <v>2781</v>
      </c>
      <c r="F1750" t="str">
        <f>"350/354"</f>
        <v>350/354</v>
      </c>
      <c r="G1750" t="s">
        <v>6851</v>
      </c>
      <c r="H1750" t="s">
        <v>6866</v>
      </c>
      <c r="I1750">
        <v>22.9</v>
      </c>
    </row>
    <row r="1751" spans="1:9" ht="12.75">
      <c r="A1751">
        <v>1737</v>
      </c>
      <c r="B1751" t="s">
        <v>6867</v>
      </c>
      <c r="C1751" t="s">
        <v>2868</v>
      </c>
      <c r="D1751" t="s">
        <v>2780</v>
      </c>
      <c r="E1751" t="s">
        <v>2973</v>
      </c>
      <c r="F1751" t="str">
        <f>"138/147"</f>
        <v>138/147</v>
      </c>
      <c r="G1751" t="s">
        <v>7202</v>
      </c>
      <c r="H1751" t="s">
        <v>6868</v>
      </c>
      <c r="I1751">
        <v>22.9</v>
      </c>
    </row>
    <row r="1752" spans="1:9" ht="12.75">
      <c r="A1752">
        <v>1738</v>
      </c>
      <c r="B1752" t="s">
        <v>3688</v>
      </c>
      <c r="C1752" t="s">
        <v>2931</v>
      </c>
      <c r="D1752" t="s">
        <v>2780</v>
      </c>
      <c r="E1752" t="s">
        <v>2823</v>
      </c>
      <c r="F1752" t="str">
        <f>"652/668"</f>
        <v>652/668</v>
      </c>
      <c r="G1752" t="s">
        <v>3011</v>
      </c>
      <c r="H1752" t="s">
        <v>6869</v>
      </c>
      <c r="I1752">
        <v>22.87</v>
      </c>
    </row>
    <row r="1753" spans="1:9" ht="12.75">
      <c r="A1753">
        <v>1739</v>
      </c>
      <c r="B1753" t="s">
        <v>6870</v>
      </c>
      <c r="C1753" t="s">
        <v>3346</v>
      </c>
      <c r="D1753" t="s">
        <v>2780</v>
      </c>
      <c r="E1753" t="s">
        <v>2818</v>
      </c>
      <c r="F1753" t="str">
        <f>"362/380"</f>
        <v>362/380</v>
      </c>
      <c r="G1753" t="s">
        <v>6871</v>
      </c>
      <c r="H1753" t="s">
        <v>6872</v>
      </c>
      <c r="I1753">
        <v>22.65</v>
      </c>
    </row>
    <row r="1754" spans="1:9" ht="12.75">
      <c r="A1754">
        <v>1740</v>
      </c>
      <c r="B1754" t="s">
        <v>6873</v>
      </c>
      <c r="C1754" t="s">
        <v>615</v>
      </c>
      <c r="D1754" t="s">
        <v>2780</v>
      </c>
      <c r="E1754" t="s">
        <v>2973</v>
      </c>
      <c r="F1754" t="str">
        <f>"139/147"</f>
        <v>139/147</v>
      </c>
      <c r="G1754" t="s">
        <v>6874</v>
      </c>
      <c r="H1754" t="s">
        <v>6875</v>
      </c>
      <c r="I1754">
        <v>22.65</v>
      </c>
    </row>
    <row r="1755" spans="1:9" ht="12.75">
      <c r="A1755">
        <v>1741</v>
      </c>
      <c r="B1755" t="s">
        <v>283</v>
      </c>
      <c r="C1755" t="s">
        <v>2840</v>
      </c>
      <c r="D1755" t="s">
        <v>2780</v>
      </c>
      <c r="E1755" t="s">
        <v>2973</v>
      </c>
      <c r="F1755" t="str">
        <f>"140/147"</f>
        <v>140/147</v>
      </c>
      <c r="G1755" t="s">
        <v>5389</v>
      </c>
      <c r="H1755" t="s">
        <v>6876</v>
      </c>
      <c r="I1755">
        <v>22.64</v>
      </c>
    </row>
    <row r="1756" spans="1:9" ht="12.75">
      <c r="A1756">
        <v>1742</v>
      </c>
      <c r="B1756" t="s">
        <v>6877</v>
      </c>
      <c r="C1756" t="s">
        <v>2840</v>
      </c>
      <c r="D1756" t="s">
        <v>2780</v>
      </c>
      <c r="E1756" t="s">
        <v>2823</v>
      </c>
      <c r="F1756" t="str">
        <f>"653/668"</f>
        <v>653/668</v>
      </c>
      <c r="G1756" t="s">
        <v>2370</v>
      </c>
      <c r="H1756" t="s">
        <v>6878</v>
      </c>
      <c r="I1756">
        <v>22.64</v>
      </c>
    </row>
    <row r="1757" spans="1:9" ht="12.75">
      <c r="A1757">
        <v>1743</v>
      </c>
      <c r="B1757" t="s">
        <v>6879</v>
      </c>
      <c r="C1757" t="s">
        <v>3488</v>
      </c>
      <c r="D1757" t="s">
        <v>2780</v>
      </c>
      <c r="E1757" t="s">
        <v>2823</v>
      </c>
      <c r="F1757" t="str">
        <f>"654/668"</f>
        <v>654/668</v>
      </c>
      <c r="G1757" t="s">
        <v>2370</v>
      </c>
      <c r="H1757" t="s">
        <v>6880</v>
      </c>
      <c r="I1757">
        <v>22.64</v>
      </c>
    </row>
    <row r="1758" spans="1:9" ht="12.75">
      <c r="A1758">
        <v>1744</v>
      </c>
      <c r="B1758" t="s">
        <v>977</v>
      </c>
      <c r="C1758" t="s">
        <v>3488</v>
      </c>
      <c r="D1758" t="s">
        <v>2780</v>
      </c>
      <c r="E1758" t="s">
        <v>2818</v>
      </c>
      <c r="F1758" t="str">
        <f>"363/380"</f>
        <v>363/380</v>
      </c>
      <c r="G1758" t="s">
        <v>2370</v>
      </c>
      <c r="H1758" t="s">
        <v>6881</v>
      </c>
      <c r="I1758">
        <v>22.64</v>
      </c>
    </row>
    <row r="1759" spans="1:9" ht="12.75">
      <c r="A1759">
        <v>1745</v>
      </c>
      <c r="B1759" t="s">
        <v>6882</v>
      </c>
      <c r="C1759" t="s">
        <v>2857</v>
      </c>
      <c r="D1759" t="s">
        <v>2780</v>
      </c>
      <c r="E1759" t="s">
        <v>2823</v>
      </c>
      <c r="F1759" t="str">
        <f>"655/668"</f>
        <v>655/668</v>
      </c>
      <c r="G1759" t="s">
        <v>2370</v>
      </c>
      <c r="H1759" t="s">
        <v>6883</v>
      </c>
      <c r="I1759">
        <v>22.63</v>
      </c>
    </row>
    <row r="1760" spans="1:9" ht="12.75">
      <c r="A1760">
        <v>1746</v>
      </c>
      <c r="B1760" t="s">
        <v>6884</v>
      </c>
      <c r="C1760" t="s">
        <v>6885</v>
      </c>
      <c r="D1760" t="s">
        <v>2780</v>
      </c>
      <c r="E1760" t="s">
        <v>2823</v>
      </c>
      <c r="F1760" t="str">
        <f>"656/668"</f>
        <v>656/668</v>
      </c>
      <c r="G1760" t="s">
        <v>2370</v>
      </c>
      <c r="H1760" t="s">
        <v>6886</v>
      </c>
      <c r="I1760">
        <v>22.63</v>
      </c>
    </row>
    <row r="1761" spans="1:9" ht="12.75">
      <c r="A1761">
        <v>1747</v>
      </c>
      <c r="B1761" t="s">
        <v>6887</v>
      </c>
      <c r="C1761" t="s">
        <v>3406</v>
      </c>
      <c r="D1761" t="s">
        <v>2780</v>
      </c>
      <c r="E1761" t="s">
        <v>2823</v>
      </c>
      <c r="F1761" t="str">
        <f>"657/668"</f>
        <v>657/668</v>
      </c>
      <c r="G1761" t="s">
        <v>6888</v>
      </c>
      <c r="H1761" t="s">
        <v>6889</v>
      </c>
      <c r="I1761">
        <v>22.61</v>
      </c>
    </row>
    <row r="1762" spans="1:9" ht="12.75">
      <c r="A1762">
        <v>1748</v>
      </c>
      <c r="B1762" t="s">
        <v>857</v>
      </c>
      <c r="C1762" t="s">
        <v>3542</v>
      </c>
      <c r="D1762" t="s">
        <v>2780</v>
      </c>
      <c r="E1762" t="s">
        <v>2973</v>
      </c>
      <c r="F1762" t="str">
        <f>"141/147"</f>
        <v>141/147</v>
      </c>
      <c r="G1762" t="s">
        <v>6890</v>
      </c>
      <c r="H1762" t="s">
        <v>6891</v>
      </c>
      <c r="I1762">
        <v>22.56</v>
      </c>
    </row>
    <row r="1763" spans="1:9" ht="12.75">
      <c r="A1763">
        <v>1749</v>
      </c>
      <c r="B1763" t="s">
        <v>6892</v>
      </c>
      <c r="C1763" t="s">
        <v>2931</v>
      </c>
      <c r="D1763" t="s">
        <v>2780</v>
      </c>
      <c r="E1763" t="s">
        <v>3209</v>
      </c>
      <c r="F1763" t="str">
        <f>"13/13"</f>
        <v>13/13</v>
      </c>
      <c r="G1763" t="s">
        <v>7892</v>
      </c>
      <c r="H1763" t="s">
        <v>6893</v>
      </c>
      <c r="I1763">
        <v>22.49</v>
      </c>
    </row>
    <row r="1764" spans="1:9" ht="12.75">
      <c r="A1764">
        <v>1750</v>
      </c>
      <c r="B1764" t="s">
        <v>6894</v>
      </c>
      <c r="C1764" t="s">
        <v>3421</v>
      </c>
      <c r="D1764" t="s">
        <v>2780</v>
      </c>
      <c r="E1764" t="s">
        <v>2818</v>
      </c>
      <c r="F1764" t="str">
        <f>"364/380"</f>
        <v>364/380</v>
      </c>
      <c r="G1764" t="s">
        <v>6895</v>
      </c>
      <c r="H1764" t="s">
        <v>6896</v>
      </c>
      <c r="I1764">
        <v>22.45</v>
      </c>
    </row>
    <row r="1765" spans="1:9" ht="12.75">
      <c r="A1765">
        <v>1751</v>
      </c>
      <c r="B1765" t="s">
        <v>6897</v>
      </c>
      <c r="C1765" t="s">
        <v>2814</v>
      </c>
      <c r="D1765" t="s">
        <v>2780</v>
      </c>
      <c r="E1765" t="s">
        <v>2786</v>
      </c>
      <c r="F1765" t="str">
        <f>"44/44"</f>
        <v>44/44</v>
      </c>
      <c r="G1765" t="s">
        <v>6895</v>
      </c>
      <c r="H1765" t="s">
        <v>6898</v>
      </c>
      <c r="I1765">
        <v>22.45</v>
      </c>
    </row>
    <row r="1766" spans="1:9" ht="12.75">
      <c r="A1766">
        <v>1752</v>
      </c>
      <c r="B1766" t="s">
        <v>6899</v>
      </c>
      <c r="C1766" t="s">
        <v>3108</v>
      </c>
      <c r="D1766" t="s">
        <v>2780</v>
      </c>
      <c r="E1766" t="s">
        <v>2818</v>
      </c>
      <c r="F1766" t="str">
        <f>"365/380"</f>
        <v>365/380</v>
      </c>
      <c r="G1766" t="s">
        <v>2064</v>
      </c>
      <c r="H1766" t="s">
        <v>6900</v>
      </c>
      <c r="I1766">
        <v>22.42</v>
      </c>
    </row>
    <row r="1767" spans="1:9" ht="12.75">
      <c r="A1767">
        <v>1753</v>
      </c>
      <c r="B1767" t="s">
        <v>746</v>
      </c>
      <c r="C1767" t="s">
        <v>6901</v>
      </c>
      <c r="D1767" t="s">
        <v>2780</v>
      </c>
      <c r="E1767" t="s">
        <v>2781</v>
      </c>
      <c r="F1767" t="str">
        <f>"351/354"</f>
        <v>351/354</v>
      </c>
      <c r="G1767" t="s">
        <v>1878</v>
      </c>
      <c r="H1767" t="s">
        <v>6902</v>
      </c>
      <c r="I1767">
        <v>22.37</v>
      </c>
    </row>
    <row r="1768" spans="1:9" ht="12.75">
      <c r="A1768">
        <v>1754</v>
      </c>
      <c r="B1768" t="s">
        <v>3212</v>
      </c>
      <c r="C1768" t="s">
        <v>2966</v>
      </c>
      <c r="D1768" t="s">
        <v>2780</v>
      </c>
      <c r="E1768" t="s">
        <v>2818</v>
      </c>
      <c r="F1768" t="str">
        <f>"366/380"</f>
        <v>366/380</v>
      </c>
      <c r="G1768" t="s">
        <v>2430</v>
      </c>
      <c r="H1768" t="s">
        <v>6903</v>
      </c>
      <c r="I1768">
        <v>22.33</v>
      </c>
    </row>
    <row r="1769" spans="1:9" ht="12.75">
      <c r="A1769">
        <v>1755</v>
      </c>
      <c r="B1769" t="s">
        <v>6904</v>
      </c>
      <c r="C1769" t="s">
        <v>5404</v>
      </c>
      <c r="D1769" t="s">
        <v>2780</v>
      </c>
      <c r="E1769" t="s">
        <v>2818</v>
      </c>
      <c r="F1769" t="str">
        <f>"367/380"</f>
        <v>367/380</v>
      </c>
      <c r="G1769" t="s">
        <v>1878</v>
      </c>
      <c r="H1769" t="s">
        <v>6905</v>
      </c>
      <c r="I1769">
        <v>22.31</v>
      </c>
    </row>
    <row r="1770" spans="1:9" ht="12.75">
      <c r="A1770">
        <v>1756</v>
      </c>
      <c r="B1770" t="s">
        <v>6906</v>
      </c>
      <c r="C1770" t="s">
        <v>2350</v>
      </c>
      <c r="D1770" t="s">
        <v>2780</v>
      </c>
      <c r="E1770" t="s">
        <v>2973</v>
      </c>
      <c r="F1770" t="str">
        <f>"142/147"</f>
        <v>142/147</v>
      </c>
      <c r="G1770" t="s">
        <v>1878</v>
      </c>
      <c r="H1770" t="s">
        <v>6907</v>
      </c>
      <c r="I1770">
        <v>22.3</v>
      </c>
    </row>
    <row r="1771" spans="1:9" ht="12.75">
      <c r="A1771">
        <v>1757</v>
      </c>
      <c r="B1771" t="s">
        <v>7876</v>
      </c>
      <c r="C1771" t="s">
        <v>6908</v>
      </c>
      <c r="D1771" t="s">
        <v>2780</v>
      </c>
      <c r="E1771" t="s">
        <v>2823</v>
      </c>
      <c r="F1771" t="str">
        <f>"658/668"</f>
        <v>658/668</v>
      </c>
      <c r="G1771" t="s">
        <v>6355</v>
      </c>
      <c r="H1771" t="s">
        <v>6909</v>
      </c>
      <c r="I1771">
        <v>22.26</v>
      </c>
    </row>
    <row r="1772" spans="1:9" ht="12.75">
      <c r="A1772">
        <v>1758</v>
      </c>
      <c r="B1772" t="s">
        <v>6910</v>
      </c>
      <c r="C1772" t="s">
        <v>6911</v>
      </c>
      <c r="D1772" t="s">
        <v>3031</v>
      </c>
      <c r="E1772" t="s">
        <v>3244</v>
      </c>
      <c r="F1772" t="str">
        <f>"39/40"</f>
        <v>39/40</v>
      </c>
      <c r="G1772" t="s">
        <v>6355</v>
      </c>
      <c r="H1772" t="s">
        <v>6912</v>
      </c>
      <c r="I1772">
        <v>22.24</v>
      </c>
    </row>
    <row r="1773" spans="1:9" ht="12.75">
      <c r="A1773">
        <v>1759</v>
      </c>
      <c r="B1773" t="s">
        <v>6913</v>
      </c>
      <c r="C1773" t="s">
        <v>6914</v>
      </c>
      <c r="D1773" t="s">
        <v>2780</v>
      </c>
      <c r="E1773" t="s">
        <v>2799</v>
      </c>
      <c r="F1773" t="str">
        <f>"100/100"</f>
        <v>100/100</v>
      </c>
      <c r="G1773" t="s">
        <v>1878</v>
      </c>
      <c r="H1773" t="s">
        <v>6915</v>
      </c>
      <c r="I1773">
        <v>22.22</v>
      </c>
    </row>
    <row r="1774" spans="1:9" ht="12.75">
      <c r="A1774">
        <v>1760</v>
      </c>
      <c r="B1774" t="s">
        <v>5993</v>
      </c>
      <c r="C1774" t="s">
        <v>660</v>
      </c>
      <c r="D1774" t="s">
        <v>2780</v>
      </c>
      <c r="E1774" t="s">
        <v>2818</v>
      </c>
      <c r="F1774" t="str">
        <f>"368/380"</f>
        <v>368/380</v>
      </c>
      <c r="G1774" t="s">
        <v>6916</v>
      </c>
      <c r="H1774" t="s">
        <v>6917</v>
      </c>
      <c r="I1774">
        <v>22.21</v>
      </c>
    </row>
    <row r="1775" spans="1:9" ht="12.75">
      <c r="A1775">
        <v>1761</v>
      </c>
      <c r="B1775" t="s">
        <v>6918</v>
      </c>
      <c r="C1775" t="s">
        <v>2807</v>
      </c>
      <c r="D1775" t="s">
        <v>2780</v>
      </c>
      <c r="E1775" t="s">
        <v>2818</v>
      </c>
      <c r="F1775" t="str">
        <f>"369/380"</f>
        <v>369/380</v>
      </c>
      <c r="G1775" t="s">
        <v>3261</v>
      </c>
      <c r="H1775" t="s">
        <v>6919</v>
      </c>
      <c r="I1775">
        <v>22.15</v>
      </c>
    </row>
    <row r="1776" spans="1:9" ht="12.75">
      <c r="A1776">
        <v>1762</v>
      </c>
      <c r="B1776" t="s">
        <v>6920</v>
      </c>
      <c r="C1776" t="s">
        <v>6921</v>
      </c>
      <c r="D1776" t="s">
        <v>2780</v>
      </c>
      <c r="E1776" t="s">
        <v>2781</v>
      </c>
      <c r="F1776" t="str">
        <f>"352/354"</f>
        <v>352/354</v>
      </c>
      <c r="G1776" t="s">
        <v>6922</v>
      </c>
      <c r="H1776" t="s">
        <v>6923</v>
      </c>
      <c r="I1776">
        <v>22.15</v>
      </c>
    </row>
    <row r="1777" spans="1:9" ht="12.75">
      <c r="A1777">
        <v>1763</v>
      </c>
      <c r="B1777" t="s">
        <v>3219</v>
      </c>
      <c r="C1777" t="s">
        <v>2916</v>
      </c>
      <c r="D1777" t="s">
        <v>2780</v>
      </c>
      <c r="E1777" t="s">
        <v>2781</v>
      </c>
      <c r="F1777" t="str">
        <f>"353/354"</f>
        <v>353/354</v>
      </c>
      <c r="G1777" t="s">
        <v>6924</v>
      </c>
      <c r="H1777" t="s">
        <v>6925</v>
      </c>
      <c r="I1777">
        <v>22.09</v>
      </c>
    </row>
    <row r="1778" spans="1:9" ht="12.75">
      <c r="A1778">
        <v>1764</v>
      </c>
      <c r="B1778" t="s">
        <v>6926</v>
      </c>
      <c r="C1778" t="s">
        <v>6927</v>
      </c>
      <c r="D1778" t="s">
        <v>2780</v>
      </c>
      <c r="E1778" t="s">
        <v>2818</v>
      </c>
      <c r="F1778" t="str">
        <f>"370/380"</f>
        <v>370/380</v>
      </c>
      <c r="G1778" t="s">
        <v>6924</v>
      </c>
      <c r="H1778" t="s">
        <v>6928</v>
      </c>
      <c r="I1778">
        <v>22.09</v>
      </c>
    </row>
    <row r="1779" spans="1:9" ht="12.75">
      <c r="A1779">
        <v>1765</v>
      </c>
      <c r="B1779" t="s">
        <v>651</v>
      </c>
      <c r="C1779" t="s">
        <v>2794</v>
      </c>
      <c r="D1779" t="s">
        <v>2780</v>
      </c>
      <c r="E1779" t="s">
        <v>2823</v>
      </c>
      <c r="F1779" t="str">
        <f>"659/668"</f>
        <v>659/668</v>
      </c>
      <c r="G1779" t="s">
        <v>3095</v>
      </c>
      <c r="H1779" t="s">
        <v>6929</v>
      </c>
      <c r="I1779">
        <v>22.08</v>
      </c>
    </row>
    <row r="1780" spans="1:9" ht="12.75">
      <c r="A1780">
        <v>1766</v>
      </c>
      <c r="B1780" t="s">
        <v>6930</v>
      </c>
      <c r="C1780" t="s">
        <v>2966</v>
      </c>
      <c r="D1780" t="s">
        <v>2780</v>
      </c>
      <c r="E1780" t="s">
        <v>2818</v>
      </c>
      <c r="F1780" t="str">
        <f>"371/380"</f>
        <v>371/380</v>
      </c>
      <c r="G1780" t="s">
        <v>6916</v>
      </c>
      <c r="H1780" t="s">
        <v>6931</v>
      </c>
      <c r="I1780">
        <v>22.04</v>
      </c>
    </row>
    <row r="1781" spans="1:9" ht="12.75">
      <c r="A1781">
        <v>1767</v>
      </c>
      <c r="B1781" t="s">
        <v>7727</v>
      </c>
      <c r="C1781" t="s">
        <v>5044</v>
      </c>
      <c r="D1781" t="s">
        <v>2780</v>
      </c>
      <c r="E1781" t="s">
        <v>2781</v>
      </c>
      <c r="F1781" t="str">
        <f>"354/354"</f>
        <v>354/354</v>
      </c>
      <c r="G1781" t="s">
        <v>437</v>
      </c>
      <c r="H1781" t="s">
        <v>6932</v>
      </c>
      <c r="I1781">
        <v>21.99</v>
      </c>
    </row>
    <row r="1782" spans="1:9" ht="12.75">
      <c r="A1782">
        <v>1768</v>
      </c>
      <c r="B1782" t="s">
        <v>6933</v>
      </c>
      <c r="C1782" t="s">
        <v>2836</v>
      </c>
      <c r="D1782" t="s">
        <v>2780</v>
      </c>
      <c r="E1782" t="s">
        <v>2818</v>
      </c>
      <c r="F1782" t="str">
        <f>"372/380"</f>
        <v>372/380</v>
      </c>
      <c r="G1782" t="s">
        <v>3261</v>
      </c>
      <c r="H1782" t="s">
        <v>6934</v>
      </c>
      <c r="I1782">
        <v>21.98</v>
      </c>
    </row>
    <row r="1783" spans="1:9" ht="12.75">
      <c r="A1783">
        <v>1769</v>
      </c>
      <c r="B1783" t="s">
        <v>1950</v>
      </c>
      <c r="C1783" t="s">
        <v>504</v>
      </c>
      <c r="D1783" t="s">
        <v>2780</v>
      </c>
      <c r="E1783" t="s">
        <v>2823</v>
      </c>
      <c r="F1783" t="str">
        <f>"660/668"</f>
        <v>660/668</v>
      </c>
      <c r="G1783" t="s">
        <v>5549</v>
      </c>
      <c r="H1783" t="s">
        <v>6935</v>
      </c>
      <c r="I1783">
        <v>21.97</v>
      </c>
    </row>
    <row r="1784" spans="1:9" ht="12.75">
      <c r="A1784">
        <v>1770</v>
      </c>
      <c r="B1784" t="s">
        <v>6936</v>
      </c>
      <c r="C1784" t="s">
        <v>2807</v>
      </c>
      <c r="D1784" t="s">
        <v>2780</v>
      </c>
      <c r="E1784" t="s">
        <v>2818</v>
      </c>
      <c r="F1784" t="str">
        <f>"373/380"</f>
        <v>373/380</v>
      </c>
      <c r="G1784" t="s">
        <v>3261</v>
      </c>
      <c r="H1784" t="s">
        <v>6937</v>
      </c>
      <c r="I1784">
        <v>21.97</v>
      </c>
    </row>
    <row r="1785" spans="1:9" ht="12.75">
      <c r="A1785">
        <v>1771</v>
      </c>
      <c r="B1785" t="s">
        <v>3378</v>
      </c>
      <c r="C1785" t="s">
        <v>1160</v>
      </c>
      <c r="D1785" t="s">
        <v>2780</v>
      </c>
      <c r="E1785" t="s">
        <v>2973</v>
      </c>
      <c r="F1785" t="str">
        <f>"143/147"</f>
        <v>143/147</v>
      </c>
      <c r="G1785" t="s">
        <v>7202</v>
      </c>
      <c r="H1785" t="s">
        <v>6938</v>
      </c>
      <c r="I1785">
        <v>21.95</v>
      </c>
    </row>
    <row r="1786" spans="1:9" ht="12.75">
      <c r="A1786">
        <v>1772</v>
      </c>
      <c r="B1786" t="s">
        <v>6939</v>
      </c>
      <c r="C1786" t="s">
        <v>2861</v>
      </c>
      <c r="D1786" t="s">
        <v>2780</v>
      </c>
      <c r="E1786" t="s">
        <v>2823</v>
      </c>
      <c r="F1786" t="str">
        <f>"661/668"</f>
        <v>661/668</v>
      </c>
      <c r="G1786" t="s">
        <v>5062</v>
      </c>
      <c r="H1786" t="s">
        <v>6940</v>
      </c>
      <c r="I1786">
        <v>21.89</v>
      </c>
    </row>
    <row r="1787" spans="1:9" ht="12.75">
      <c r="A1787">
        <v>1773</v>
      </c>
      <c r="B1787" t="s">
        <v>6941</v>
      </c>
      <c r="C1787" t="s">
        <v>2830</v>
      </c>
      <c r="D1787" t="s">
        <v>2780</v>
      </c>
      <c r="E1787" t="s">
        <v>2823</v>
      </c>
      <c r="F1787" t="str">
        <f>"662/668"</f>
        <v>662/668</v>
      </c>
      <c r="G1787" t="s">
        <v>6895</v>
      </c>
      <c r="H1787" t="s">
        <v>6942</v>
      </c>
      <c r="I1787">
        <v>21.86</v>
      </c>
    </row>
    <row r="1788" spans="1:9" ht="12.75">
      <c r="A1788">
        <v>1774</v>
      </c>
      <c r="B1788" t="s">
        <v>6943</v>
      </c>
      <c r="C1788" t="s">
        <v>2836</v>
      </c>
      <c r="D1788" t="s">
        <v>2780</v>
      </c>
      <c r="E1788" t="s">
        <v>2818</v>
      </c>
      <c r="F1788" t="str">
        <f>"374/380"</f>
        <v>374/380</v>
      </c>
      <c r="G1788" t="s">
        <v>727</v>
      </c>
      <c r="H1788" t="s">
        <v>6944</v>
      </c>
      <c r="I1788">
        <v>21.84</v>
      </c>
    </row>
    <row r="1789" spans="1:9" ht="12.75">
      <c r="A1789">
        <v>1775</v>
      </c>
      <c r="B1789" t="s">
        <v>6945</v>
      </c>
      <c r="C1789" t="s">
        <v>2857</v>
      </c>
      <c r="D1789" t="s">
        <v>2780</v>
      </c>
      <c r="E1789" t="s">
        <v>2818</v>
      </c>
      <c r="F1789" t="str">
        <f>"375/380"</f>
        <v>375/380</v>
      </c>
      <c r="G1789" t="s">
        <v>908</v>
      </c>
      <c r="H1789" t="s">
        <v>6946</v>
      </c>
      <c r="I1789">
        <v>21.73</v>
      </c>
    </row>
    <row r="1790" spans="1:9" ht="12.75">
      <c r="A1790">
        <v>1776</v>
      </c>
      <c r="B1790" t="s">
        <v>4020</v>
      </c>
      <c r="C1790" t="s">
        <v>2817</v>
      </c>
      <c r="D1790" t="s">
        <v>2780</v>
      </c>
      <c r="E1790" t="s">
        <v>2818</v>
      </c>
      <c r="F1790" t="str">
        <f>"376/380"</f>
        <v>376/380</v>
      </c>
      <c r="G1790" t="s">
        <v>3095</v>
      </c>
      <c r="H1790" t="s">
        <v>6947</v>
      </c>
      <c r="I1790">
        <v>21.7</v>
      </c>
    </row>
    <row r="1791" spans="1:9" ht="12.75">
      <c r="A1791">
        <v>1777</v>
      </c>
      <c r="B1791" t="s">
        <v>6948</v>
      </c>
      <c r="C1791" t="s">
        <v>6949</v>
      </c>
      <c r="D1791" t="s">
        <v>2780</v>
      </c>
      <c r="E1791" t="s">
        <v>2973</v>
      </c>
      <c r="F1791" t="str">
        <f>"144/147"</f>
        <v>144/147</v>
      </c>
      <c r="G1791" t="s">
        <v>3516</v>
      </c>
      <c r="H1791" t="s">
        <v>6950</v>
      </c>
      <c r="I1791">
        <v>21.6</v>
      </c>
    </row>
    <row r="1792" spans="1:9" ht="12.75">
      <c r="A1792">
        <v>1778</v>
      </c>
      <c r="B1792" t="s">
        <v>6951</v>
      </c>
      <c r="C1792" t="s">
        <v>2895</v>
      </c>
      <c r="D1792" t="s">
        <v>2780</v>
      </c>
      <c r="E1792" t="s">
        <v>2818</v>
      </c>
      <c r="F1792" t="str">
        <f>"377/380"</f>
        <v>377/380</v>
      </c>
      <c r="G1792" t="s">
        <v>6924</v>
      </c>
      <c r="H1792" t="s">
        <v>6952</v>
      </c>
      <c r="I1792">
        <v>21.57</v>
      </c>
    </row>
    <row r="1793" spans="1:9" ht="12.75">
      <c r="A1793">
        <v>1779</v>
      </c>
      <c r="B1793" t="s">
        <v>6147</v>
      </c>
      <c r="C1793" t="s">
        <v>3008</v>
      </c>
      <c r="D1793" t="s">
        <v>2780</v>
      </c>
      <c r="E1793" t="s">
        <v>2823</v>
      </c>
      <c r="F1793" t="str">
        <f>"663/668"</f>
        <v>663/668</v>
      </c>
      <c r="G1793" t="s">
        <v>2430</v>
      </c>
      <c r="H1793" t="s">
        <v>6953</v>
      </c>
      <c r="I1793">
        <v>21.55</v>
      </c>
    </row>
    <row r="1794" spans="1:9" ht="12.75">
      <c r="A1794">
        <v>1780</v>
      </c>
      <c r="B1794" t="s">
        <v>6954</v>
      </c>
      <c r="C1794" t="s">
        <v>615</v>
      </c>
      <c r="D1794" t="s">
        <v>2780</v>
      </c>
      <c r="E1794" t="s">
        <v>2823</v>
      </c>
      <c r="F1794" t="str">
        <f>"664/668"</f>
        <v>664/668</v>
      </c>
      <c r="G1794" t="s">
        <v>6955</v>
      </c>
      <c r="H1794" t="s">
        <v>6956</v>
      </c>
      <c r="I1794">
        <v>21.46</v>
      </c>
    </row>
    <row r="1795" spans="1:9" ht="12.75">
      <c r="A1795">
        <v>1781</v>
      </c>
      <c r="B1795" t="s">
        <v>6957</v>
      </c>
      <c r="C1795" t="s">
        <v>2857</v>
      </c>
      <c r="D1795" t="s">
        <v>2780</v>
      </c>
      <c r="E1795" t="s">
        <v>2818</v>
      </c>
      <c r="F1795" t="str">
        <f>"378/380"</f>
        <v>378/380</v>
      </c>
      <c r="G1795" t="s">
        <v>5439</v>
      </c>
      <c r="H1795" t="s">
        <v>6958</v>
      </c>
      <c r="I1795">
        <v>21.27</v>
      </c>
    </row>
    <row r="1796" spans="1:9" ht="12.75">
      <c r="A1796">
        <v>1782</v>
      </c>
      <c r="B1796" t="s">
        <v>3189</v>
      </c>
      <c r="C1796" t="s">
        <v>470</v>
      </c>
      <c r="D1796" t="s">
        <v>2780</v>
      </c>
      <c r="E1796" t="s">
        <v>2823</v>
      </c>
      <c r="F1796" t="str">
        <f>"665/668"</f>
        <v>665/668</v>
      </c>
      <c r="G1796" t="s">
        <v>369</v>
      </c>
      <c r="H1796" t="s">
        <v>6959</v>
      </c>
      <c r="I1796">
        <v>21.25</v>
      </c>
    </row>
    <row r="1797" spans="1:9" ht="12.75">
      <c r="A1797">
        <v>1783</v>
      </c>
      <c r="B1797" t="s">
        <v>6960</v>
      </c>
      <c r="C1797" t="s">
        <v>2966</v>
      </c>
      <c r="D1797" t="s">
        <v>2780</v>
      </c>
      <c r="E1797" t="s">
        <v>2823</v>
      </c>
      <c r="F1797" t="str">
        <f>"666/668"</f>
        <v>666/668</v>
      </c>
      <c r="G1797" t="s">
        <v>3070</v>
      </c>
      <c r="H1797" t="s">
        <v>6961</v>
      </c>
      <c r="I1797">
        <v>21.21</v>
      </c>
    </row>
    <row r="1798" spans="1:9" ht="12.75">
      <c r="A1798">
        <v>1784</v>
      </c>
      <c r="B1798" t="s">
        <v>3988</v>
      </c>
      <c r="C1798" t="s">
        <v>3057</v>
      </c>
      <c r="D1798" t="s">
        <v>2780</v>
      </c>
      <c r="E1798" t="s">
        <v>2818</v>
      </c>
      <c r="F1798" t="str">
        <f>"379/380"</f>
        <v>379/380</v>
      </c>
      <c r="G1798" t="s">
        <v>3261</v>
      </c>
      <c r="H1798" t="s">
        <v>6962</v>
      </c>
      <c r="I1798">
        <v>21.12</v>
      </c>
    </row>
    <row r="1799" spans="1:9" ht="12.75">
      <c r="A1799">
        <v>1785</v>
      </c>
      <c r="B1799" t="s">
        <v>6963</v>
      </c>
      <c r="C1799" t="s">
        <v>2956</v>
      </c>
      <c r="D1799" t="s">
        <v>2780</v>
      </c>
      <c r="E1799" t="s">
        <v>2823</v>
      </c>
      <c r="F1799" t="str">
        <f>"667/668"</f>
        <v>667/668</v>
      </c>
      <c r="G1799" t="s">
        <v>6964</v>
      </c>
      <c r="H1799" t="s">
        <v>6965</v>
      </c>
      <c r="I1799">
        <v>21.07</v>
      </c>
    </row>
    <row r="1800" spans="1:9" ht="12.75">
      <c r="A1800">
        <v>1786</v>
      </c>
      <c r="B1800" t="s">
        <v>5631</v>
      </c>
      <c r="C1800" t="s">
        <v>2966</v>
      </c>
      <c r="D1800" t="s">
        <v>2780</v>
      </c>
      <c r="E1800" t="s">
        <v>2823</v>
      </c>
      <c r="F1800" t="str">
        <f>"668/668"</f>
        <v>668/668</v>
      </c>
      <c r="G1800" t="s">
        <v>369</v>
      </c>
      <c r="H1800" t="s">
        <v>6966</v>
      </c>
      <c r="I1800">
        <v>21.05</v>
      </c>
    </row>
    <row r="1801" spans="1:9" ht="12.75">
      <c r="A1801">
        <v>1787</v>
      </c>
      <c r="B1801" t="s">
        <v>3160</v>
      </c>
      <c r="C1801" t="s">
        <v>6967</v>
      </c>
      <c r="D1801" t="s">
        <v>2780</v>
      </c>
      <c r="E1801" t="s">
        <v>2973</v>
      </c>
      <c r="F1801" t="str">
        <f>"145/147"</f>
        <v>145/147</v>
      </c>
      <c r="G1801" t="s">
        <v>7230</v>
      </c>
      <c r="H1801" t="s">
        <v>6968</v>
      </c>
      <c r="I1801">
        <v>20.88</v>
      </c>
    </row>
    <row r="1802" spans="1:9" ht="12.75">
      <c r="A1802">
        <v>1788</v>
      </c>
      <c r="B1802" t="s">
        <v>3840</v>
      </c>
      <c r="C1802" t="s">
        <v>6252</v>
      </c>
      <c r="D1802" t="s">
        <v>3031</v>
      </c>
      <c r="E1802" t="s">
        <v>3032</v>
      </c>
      <c r="F1802" t="str">
        <f>"25/25"</f>
        <v>25/25</v>
      </c>
      <c r="G1802" t="s">
        <v>7230</v>
      </c>
      <c r="H1802" t="s">
        <v>6969</v>
      </c>
      <c r="I1802">
        <v>20.87</v>
      </c>
    </row>
    <row r="1803" spans="1:9" ht="12.75">
      <c r="A1803">
        <v>1789</v>
      </c>
      <c r="B1803" t="s">
        <v>6397</v>
      </c>
      <c r="C1803" t="s">
        <v>5234</v>
      </c>
      <c r="D1803" t="s">
        <v>3031</v>
      </c>
      <c r="E1803" t="s">
        <v>3244</v>
      </c>
      <c r="F1803" t="str">
        <f>"40/40"</f>
        <v>40/40</v>
      </c>
      <c r="G1803" t="s">
        <v>1901</v>
      </c>
      <c r="H1803" t="s">
        <v>6970</v>
      </c>
      <c r="I1803">
        <v>20.22</v>
      </c>
    </row>
    <row r="1804" spans="1:9" ht="12.75">
      <c r="A1804">
        <v>1790</v>
      </c>
      <c r="B1804" t="s">
        <v>6971</v>
      </c>
      <c r="C1804" t="s">
        <v>615</v>
      </c>
      <c r="D1804" t="s">
        <v>2780</v>
      </c>
      <c r="E1804" t="s">
        <v>2973</v>
      </c>
      <c r="F1804" t="str">
        <f>"146/147"</f>
        <v>146/147</v>
      </c>
      <c r="G1804" t="s">
        <v>1901</v>
      </c>
      <c r="H1804" t="s">
        <v>6972</v>
      </c>
      <c r="I1804">
        <v>20.22</v>
      </c>
    </row>
    <row r="1805" spans="1:9" ht="12.75">
      <c r="A1805">
        <v>1791</v>
      </c>
      <c r="B1805" t="s">
        <v>6973</v>
      </c>
      <c r="C1805" t="s">
        <v>7895</v>
      </c>
      <c r="D1805" t="s">
        <v>2780</v>
      </c>
      <c r="E1805" t="s">
        <v>2973</v>
      </c>
      <c r="F1805" t="str">
        <f>"147/147"</f>
        <v>147/147</v>
      </c>
      <c r="G1805" t="s">
        <v>3277</v>
      </c>
      <c r="H1805" t="s">
        <v>6974</v>
      </c>
      <c r="I1805">
        <v>20.04</v>
      </c>
    </row>
    <row r="1806" spans="1:9" ht="12.75">
      <c r="A1806">
        <v>1792</v>
      </c>
      <c r="B1806" t="s">
        <v>6975</v>
      </c>
      <c r="C1806" t="s">
        <v>2836</v>
      </c>
      <c r="D1806" t="s">
        <v>2780</v>
      </c>
      <c r="E1806" t="s">
        <v>2818</v>
      </c>
      <c r="F1806" t="str">
        <f>"380/380"</f>
        <v>380/380</v>
      </c>
      <c r="G1806" t="s">
        <v>5376</v>
      </c>
      <c r="H1806" t="s">
        <v>6976</v>
      </c>
      <c r="I1806">
        <v>19.92</v>
      </c>
    </row>
  </sheetData>
  <autoFilter ref="A14:I1806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6"/>
  <sheetViews>
    <sheetView workbookViewId="0" topLeftCell="A1">
      <selection activeCell="A4" sqref="A4:IV4"/>
    </sheetView>
  </sheetViews>
  <sheetFormatPr defaultColWidth="9.140625" defaultRowHeight="12.75"/>
  <cols>
    <col min="2" max="2" width="20.00390625" style="0" customWidth="1"/>
    <col min="3" max="3" width="22.8515625" style="0" customWidth="1"/>
    <col min="7" max="7" width="40.8515625" style="0" customWidth="1"/>
  </cols>
  <sheetData>
    <row r="1" spans="1:9" ht="12.75">
      <c r="A1" s="6" t="s">
        <v>6988</v>
      </c>
      <c r="B1" s="6"/>
      <c r="C1" s="6"/>
      <c r="D1" s="6"/>
      <c r="E1" s="6"/>
      <c r="F1" s="6"/>
      <c r="G1" s="6"/>
      <c r="H1" s="6"/>
      <c r="I1" s="6"/>
    </row>
    <row r="2" spans="1:9" ht="12.75">
      <c r="A2" s="2">
        <v>1098</v>
      </c>
      <c r="B2" s="2" t="s">
        <v>5535</v>
      </c>
      <c r="C2" s="2" t="s">
        <v>2836</v>
      </c>
      <c r="D2" s="2" t="s">
        <v>2780</v>
      </c>
      <c r="E2" s="2" t="s">
        <v>2823</v>
      </c>
      <c r="F2" s="2" t="s">
        <v>6989</v>
      </c>
      <c r="G2" s="2" t="s">
        <v>5536</v>
      </c>
      <c r="H2" s="2" t="s">
        <v>5537</v>
      </c>
      <c r="I2" s="2">
        <v>28.06</v>
      </c>
    </row>
    <row r="3" spans="1:9" ht="12.75">
      <c r="A3" s="2">
        <v>1121</v>
      </c>
      <c r="B3" s="2" t="s">
        <v>5596</v>
      </c>
      <c r="C3" s="2" t="s">
        <v>2991</v>
      </c>
      <c r="D3" s="2" t="s">
        <v>2780</v>
      </c>
      <c r="E3" s="2" t="s">
        <v>2818</v>
      </c>
      <c r="F3" s="2" t="s">
        <v>6990</v>
      </c>
      <c r="G3" s="2" t="s">
        <v>5536</v>
      </c>
      <c r="H3" s="2" t="s">
        <v>5597</v>
      </c>
      <c r="I3" s="2">
        <v>27.88</v>
      </c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t="s">
        <v>2769</v>
      </c>
      <c r="B5" t="s">
        <v>2770</v>
      </c>
      <c r="C5" t="s">
        <v>2771</v>
      </c>
      <c r="D5" t="s">
        <v>2772</v>
      </c>
      <c r="E5" t="s">
        <v>2773</v>
      </c>
      <c r="F5" t="s">
        <v>2774</v>
      </c>
      <c r="G5" t="s">
        <v>2775</v>
      </c>
      <c r="H5" t="s">
        <v>2776</v>
      </c>
      <c r="I5" t="s">
        <v>2777</v>
      </c>
    </row>
    <row r="6" spans="1:9" ht="12.75">
      <c r="A6">
        <v>1</v>
      </c>
      <c r="B6" t="s">
        <v>2778</v>
      </c>
      <c r="C6" t="s">
        <v>2779</v>
      </c>
      <c r="D6" t="s">
        <v>2780</v>
      </c>
      <c r="E6" t="s">
        <v>2781</v>
      </c>
      <c r="F6" t="str">
        <f>"1/329"</f>
        <v>1/329</v>
      </c>
      <c r="G6" t="s">
        <v>2782</v>
      </c>
      <c r="H6" t="s">
        <v>2783</v>
      </c>
      <c r="I6">
        <v>38.75</v>
      </c>
    </row>
    <row r="7" spans="1:9" ht="12.75">
      <c r="A7">
        <v>2</v>
      </c>
      <c r="B7" t="s">
        <v>2784</v>
      </c>
      <c r="C7" t="s">
        <v>2785</v>
      </c>
      <c r="D7" t="s">
        <v>2780</v>
      </c>
      <c r="E7" t="s">
        <v>2786</v>
      </c>
      <c r="F7" t="str">
        <f>"1/58"</f>
        <v>1/58</v>
      </c>
      <c r="G7" t="s">
        <v>2787</v>
      </c>
      <c r="H7" t="s">
        <v>2788</v>
      </c>
      <c r="I7">
        <v>38.42</v>
      </c>
    </row>
    <row r="8" spans="1:9" ht="12.75">
      <c r="A8">
        <v>3</v>
      </c>
      <c r="B8" t="s">
        <v>2789</v>
      </c>
      <c r="C8" t="s">
        <v>2790</v>
      </c>
      <c r="D8" t="s">
        <v>2780</v>
      </c>
      <c r="E8" t="s">
        <v>2781</v>
      </c>
      <c r="F8" t="str">
        <f>"2/329"</f>
        <v>2/329</v>
      </c>
      <c r="G8" t="s">
        <v>2791</v>
      </c>
      <c r="H8" t="s">
        <v>2792</v>
      </c>
      <c r="I8">
        <v>38.36</v>
      </c>
    </row>
    <row r="9" spans="1:9" ht="12.75">
      <c r="A9">
        <v>4</v>
      </c>
      <c r="B9" t="s">
        <v>2793</v>
      </c>
      <c r="C9" t="s">
        <v>2794</v>
      </c>
      <c r="D9" t="s">
        <v>2780</v>
      </c>
      <c r="E9" t="s">
        <v>2786</v>
      </c>
      <c r="F9" t="str">
        <f>"2/58"</f>
        <v>2/58</v>
      </c>
      <c r="G9" t="s">
        <v>2795</v>
      </c>
      <c r="H9" t="s">
        <v>2796</v>
      </c>
      <c r="I9">
        <v>38.35</v>
      </c>
    </row>
    <row r="10" spans="1:9" ht="12.75">
      <c r="A10">
        <v>5</v>
      </c>
      <c r="B10" t="s">
        <v>2797</v>
      </c>
      <c r="C10" t="s">
        <v>2798</v>
      </c>
      <c r="D10" t="s">
        <v>2780</v>
      </c>
      <c r="E10" t="s">
        <v>2799</v>
      </c>
      <c r="F10" t="str">
        <f>"1/99"</f>
        <v>1/99</v>
      </c>
      <c r="G10" t="s">
        <v>2800</v>
      </c>
      <c r="H10" t="s">
        <v>2801</v>
      </c>
      <c r="I10">
        <v>38.28</v>
      </c>
    </row>
    <row r="11" spans="1:9" ht="12.75">
      <c r="A11">
        <v>6</v>
      </c>
      <c r="B11" t="s">
        <v>2802</v>
      </c>
      <c r="C11" t="s">
        <v>2803</v>
      </c>
      <c r="D11" t="s">
        <v>2780</v>
      </c>
      <c r="E11" t="s">
        <v>2781</v>
      </c>
      <c r="F11" t="str">
        <f>"3/329"</f>
        <v>3/329</v>
      </c>
      <c r="G11" t="s">
        <v>2804</v>
      </c>
      <c r="H11" t="s">
        <v>2805</v>
      </c>
      <c r="I11">
        <v>38.28</v>
      </c>
    </row>
    <row r="12" spans="1:9" ht="12.75">
      <c r="A12">
        <v>7</v>
      </c>
      <c r="B12" t="s">
        <v>2806</v>
      </c>
      <c r="C12" t="s">
        <v>2807</v>
      </c>
      <c r="D12" t="s">
        <v>2780</v>
      </c>
      <c r="E12" t="s">
        <v>2781</v>
      </c>
      <c r="F12" t="str">
        <f>"4/329"</f>
        <v>4/329</v>
      </c>
      <c r="G12" t="s">
        <v>2782</v>
      </c>
      <c r="H12" t="s">
        <v>2808</v>
      </c>
      <c r="I12">
        <v>37.88</v>
      </c>
    </row>
    <row r="13" spans="1:9" ht="12.75">
      <c r="A13">
        <v>8</v>
      </c>
      <c r="B13" t="s">
        <v>2809</v>
      </c>
      <c r="C13" t="s">
        <v>2810</v>
      </c>
      <c r="D13" t="s">
        <v>2780</v>
      </c>
      <c r="E13" t="s">
        <v>2799</v>
      </c>
      <c r="F13" t="str">
        <f>"2/99"</f>
        <v>2/99</v>
      </c>
      <c r="G13" t="s">
        <v>2811</v>
      </c>
      <c r="H13" t="s">
        <v>2812</v>
      </c>
      <c r="I13">
        <v>37.88</v>
      </c>
    </row>
    <row r="14" spans="1:9" ht="12.75">
      <c r="A14">
        <v>9</v>
      </c>
      <c r="B14" t="s">
        <v>2813</v>
      </c>
      <c r="C14" t="s">
        <v>2814</v>
      </c>
      <c r="D14" t="s">
        <v>2780</v>
      </c>
      <c r="E14" t="s">
        <v>2786</v>
      </c>
      <c r="F14" t="str">
        <f>"3/58"</f>
        <v>3/58</v>
      </c>
      <c r="G14" t="s">
        <v>2787</v>
      </c>
      <c r="H14" t="s">
        <v>2815</v>
      </c>
      <c r="I14">
        <v>37.88</v>
      </c>
    </row>
    <row r="15" spans="1:9" ht="12.75">
      <c r="A15">
        <v>10</v>
      </c>
      <c r="B15" t="s">
        <v>2816</v>
      </c>
      <c r="C15" t="s">
        <v>2817</v>
      </c>
      <c r="D15" t="s">
        <v>2780</v>
      </c>
      <c r="E15" t="s">
        <v>2818</v>
      </c>
      <c r="F15" t="str">
        <f>"1/307"</f>
        <v>1/307</v>
      </c>
      <c r="G15" t="s">
        <v>2819</v>
      </c>
      <c r="H15" t="s">
        <v>2820</v>
      </c>
      <c r="I15">
        <v>37.88</v>
      </c>
    </row>
    <row r="16" spans="1:9" ht="12.75">
      <c r="A16">
        <v>11</v>
      </c>
      <c r="B16" t="s">
        <v>2821</v>
      </c>
      <c r="C16" t="s">
        <v>2822</v>
      </c>
      <c r="D16" t="s">
        <v>2780</v>
      </c>
      <c r="E16" t="s">
        <v>2823</v>
      </c>
      <c r="F16" t="str">
        <f>"1/504"</f>
        <v>1/504</v>
      </c>
      <c r="G16" t="s">
        <v>2787</v>
      </c>
      <c r="H16" t="s">
        <v>2824</v>
      </c>
      <c r="I16">
        <v>37.88</v>
      </c>
    </row>
    <row r="17" spans="1:9" ht="12.75">
      <c r="A17">
        <v>12</v>
      </c>
      <c r="B17" t="s">
        <v>2825</v>
      </c>
      <c r="C17" t="s">
        <v>2826</v>
      </c>
      <c r="D17" t="s">
        <v>2780</v>
      </c>
      <c r="E17" t="s">
        <v>2823</v>
      </c>
      <c r="F17" t="str">
        <f>"2/504"</f>
        <v>2/504</v>
      </c>
      <c r="G17" t="s">
        <v>2827</v>
      </c>
      <c r="H17" t="s">
        <v>2828</v>
      </c>
      <c r="I17">
        <v>37.88</v>
      </c>
    </row>
    <row r="18" spans="1:9" ht="12.75">
      <c r="A18">
        <v>13</v>
      </c>
      <c r="B18" t="s">
        <v>2829</v>
      </c>
      <c r="C18" t="s">
        <v>2830</v>
      </c>
      <c r="D18" t="s">
        <v>2780</v>
      </c>
      <c r="E18" t="s">
        <v>2781</v>
      </c>
      <c r="F18" t="str">
        <f>"5/329"</f>
        <v>5/329</v>
      </c>
      <c r="G18" t="s">
        <v>2831</v>
      </c>
      <c r="H18" t="s">
        <v>2832</v>
      </c>
      <c r="I18">
        <v>37.88</v>
      </c>
    </row>
    <row r="19" spans="1:9" ht="12.75">
      <c r="A19">
        <v>14</v>
      </c>
      <c r="B19" t="s">
        <v>2833</v>
      </c>
      <c r="C19" t="s">
        <v>2810</v>
      </c>
      <c r="D19" t="s">
        <v>2780</v>
      </c>
      <c r="E19" t="s">
        <v>2781</v>
      </c>
      <c r="F19" t="str">
        <f>"6/329"</f>
        <v>6/329</v>
      </c>
      <c r="G19" t="s">
        <v>2782</v>
      </c>
      <c r="H19" t="s">
        <v>2834</v>
      </c>
      <c r="I19">
        <v>37.88</v>
      </c>
    </row>
    <row r="20" spans="1:9" ht="12.75">
      <c r="A20">
        <v>15</v>
      </c>
      <c r="B20" t="s">
        <v>2835</v>
      </c>
      <c r="C20" t="s">
        <v>2836</v>
      </c>
      <c r="D20" t="s">
        <v>2780</v>
      </c>
      <c r="E20" t="s">
        <v>2781</v>
      </c>
      <c r="F20" t="str">
        <f>"7/329"</f>
        <v>7/329</v>
      </c>
      <c r="G20" t="s">
        <v>2837</v>
      </c>
      <c r="H20" t="s">
        <v>2838</v>
      </c>
      <c r="I20">
        <v>37.88</v>
      </c>
    </row>
    <row r="21" spans="1:9" ht="12.75">
      <c r="A21">
        <v>16</v>
      </c>
      <c r="B21" t="s">
        <v>2839</v>
      </c>
      <c r="C21" t="s">
        <v>2840</v>
      </c>
      <c r="D21" t="s">
        <v>2780</v>
      </c>
      <c r="E21" t="s">
        <v>2799</v>
      </c>
      <c r="F21" t="str">
        <f>"3/99"</f>
        <v>3/99</v>
      </c>
      <c r="G21" t="s">
        <v>2841</v>
      </c>
      <c r="H21" t="s">
        <v>2842</v>
      </c>
      <c r="I21">
        <v>37.87</v>
      </c>
    </row>
    <row r="22" spans="1:9" ht="12.75">
      <c r="A22">
        <v>17</v>
      </c>
      <c r="B22" t="s">
        <v>2843</v>
      </c>
      <c r="C22" t="s">
        <v>2810</v>
      </c>
      <c r="D22" t="s">
        <v>2780</v>
      </c>
      <c r="E22" t="s">
        <v>2786</v>
      </c>
      <c r="F22" t="str">
        <f>"4/58"</f>
        <v>4/58</v>
      </c>
      <c r="G22" t="s">
        <v>2844</v>
      </c>
      <c r="H22" t="s">
        <v>2845</v>
      </c>
      <c r="I22">
        <v>37.85</v>
      </c>
    </row>
    <row r="23" spans="1:9" ht="12.75">
      <c r="A23">
        <v>18</v>
      </c>
      <c r="B23" t="s">
        <v>2846</v>
      </c>
      <c r="C23" t="s">
        <v>2807</v>
      </c>
      <c r="D23" t="s">
        <v>2780</v>
      </c>
      <c r="E23" t="s">
        <v>2799</v>
      </c>
      <c r="F23" t="str">
        <f>"4/99"</f>
        <v>4/99</v>
      </c>
      <c r="G23" t="s">
        <v>2847</v>
      </c>
      <c r="H23" t="s">
        <v>2848</v>
      </c>
      <c r="I23">
        <v>37.85</v>
      </c>
    </row>
    <row r="24" spans="1:9" ht="12.75">
      <c r="A24">
        <v>19</v>
      </c>
      <c r="B24" t="s">
        <v>2849</v>
      </c>
      <c r="C24" t="s">
        <v>2850</v>
      </c>
      <c r="D24" t="s">
        <v>2780</v>
      </c>
      <c r="E24" t="s">
        <v>2786</v>
      </c>
      <c r="F24" t="str">
        <f>"5/58"</f>
        <v>5/58</v>
      </c>
      <c r="G24" t="s">
        <v>2851</v>
      </c>
      <c r="H24" t="s">
        <v>2852</v>
      </c>
      <c r="I24">
        <v>37.84</v>
      </c>
    </row>
    <row r="25" spans="1:9" ht="12.75">
      <c r="A25">
        <v>20</v>
      </c>
      <c r="B25" t="s">
        <v>2853</v>
      </c>
      <c r="C25" t="s">
        <v>2850</v>
      </c>
      <c r="D25" t="s">
        <v>2780</v>
      </c>
      <c r="E25" t="s">
        <v>2786</v>
      </c>
      <c r="F25" t="str">
        <f>"6/58"</f>
        <v>6/58</v>
      </c>
      <c r="G25" t="s">
        <v>2854</v>
      </c>
      <c r="H25" t="s">
        <v>2855</v>
      </c>
      <c r="I25">
        <v>37.84</v>
      </c>
    </row>
    <row r="26" spans="1:9" ht="12.75">
      <c r="A26">
        <v>21</v>
      </c>
      <c r="B26" t="s">
        <v>2856</v>
      </c>
      <c r="C26" t="s">
        <v>2857</v>
      </c>
      <c r="D26" t="s">
        <v>2780</v>
      </c>
      <c r="E26" t="s">
        <v>2823</v>
      </c>
      <c r="F26" t="str">
        <f>"3/504"</f>
        <v>3/504</v>
      </c>
      <c r="G26" t="s">
        <v>2858</v>
      </c>
      <c r="H26" t="s">
        <v>2859</v>
      </c>
      <c r="I26">
        <v>37.84</v>
      </c>
    </row>
    <row r="27" spans="1:9" ht="12.75">
      <c r="A27">
        <v>22</v>
      </c>
      <c r="B27" t="s">
        <v>2860</v>
      </c>
      <c r="C27" t="s">
        <v>2861</v>
      </c>
      <c r="D27" t="s">
        <v>2780</v>
      </c>
      <c r="E27" t="s">
        <v>2823</v>
      </c>
      <c r="F27" t="str">
        <f>"4/504"</f>
        <v>4/504</v>
      </c>
      <c r="G27" t="s">
        <v>2862</v>
      </c>
      <c r="H27" t="s">
        <v>2863</v>
      </c>
      <c r="I27">
        <v>37.84</v>
      </c>
    </row>
    <row r="28" spans="1:9" ht="12.75">
      <c r="A28">
        <v>23</v>
      </c>
      <c r="B28" t="s">
        <v>2864</v>
      </c>
      <c r="C28" t="s">
        <v>2865</v>
      </c>
      <c r="D28" t="s">
        <v>2780</v>
      </c>
      <c r="E28" t="s">
        <v>2823</v>
      </c>
      <c r="F28" t="str">
        <f>"5/504"</f>
        <v>5/504</v>
      </c>
      <c r="G28" t="s">
        <v>2787</v>
      </c>
      <c r="H28" t="s">
        <v>2866</v>
      </c>
      <c r="I28">
        <v>37.84</v>
      </c>
    </row>
    <row r="29" spans="1:9" ht="12.75">
      <c r="A29">
        <v>24</v>
      </c>
      <c r="B29" t="s">
        <v>2867</v>
      </c>
      <c r="C29" t="s">
        <v>2868</v>
      </c>
      <c r="D29" t="s">
        <v>2780</v>
      </c>
      <c r="E29" t="s">
        <v>2823</v>
      </c>
      <c r="F29" t="str">
        <f>"6/504"</f>
        <v>6/504</v>
      </c>
      <c r="G29" t="s">
        <v>2869</v>
      </c>
      <c r="H29" t="s">
        <v>2870</v>
      </c>
      <c r="I29">
        <v>37.84</v>
      </c>
    </row>
    <row r="30" spans="1:9" ht="12.75">
      <c r="A30">
        <v>25</v>
      </c>
      <c r="B30" t="s">
        <v>2871</v>
      </c>
      <c r="C30" t="s">
        <v>2868</v>
      </c>
      <c r="D30" t="s">
        <v>2780</v>
      </c>
      <c r="E30" t="s">
        <v>2781</v>
      </c>
      <c r="F30" t="str">
        <f>"8/329"</f>
        <v>8/329</v>
      </c>
      <c r="G30" t="s">
        <v>2787</v>
      </c>
      <c r="H30" t="s">
        <v>2872</v>
      </c>
      <c r="I30">
        <v>37.84</v>
      </c>
    </row>
    <row r="31" spans="1:9" ht="12.75">
      <c r="A31">
        <v>26</v>
      </c>
      <c r="B31" t="s">
        <v>2873</v>
      </c>
      <c r="C31" t="s">
        <v>2861</v>
      </c>
      <c r="D31" t="s">
        <v>2780</v>
      </c>
      <c r="E31" t="s">
        <v>2823</v>
      </c>
      <c r="F31" t="str">
        <f>"7/504"</f>
        <v>7/504</v>
      </c>
      <c r="G31" t="s">
        <v>2862</v>
      </c>
      <c r="H31" t="s">
        <v>2874</v>
      </c>
      <c r="I31">
        <v>37.84</v>
      </c>
    </row>
    <row r="32" spans="1:9" ht="12.75">
      <c r="A32">
        <v>27</v>
      </c>
      <c r="B32" t="s">
        <v>2875</v>
      </c>
      <c r="C32" t="s">
        <v>2876</v>
      </c>
      <c r="D32" t="s">
        <v>2780</v>
      </c>
      <c r="E32" t="s">
        <v>2781</v>
      </c>
      <c r="F32" t="str">
        <f>"9/329"</f>
        <v>9/329</v>
      </c>
      <c r="G32" t="s">
        <v>2877</v>
      </c>
      <c r="H32" t="s">
        <v>2878</v>
      </c>
      <c r="I32">
        <v>37.84</v>
      </c>
    </row>
    <row r="33" spans="1:9" ht="12.75">
      <c r="A33">
        <v>28</v>
      </c>
      <c r="B33" t="s">
        <v>2879</v>
      </c>
      <c r="C33" t="s">
        <v>2836</v>
      </c>
      <c r="D33" t="s">
        <v>2780</v>
      </c>
      <c r="E33" t="s">
        <v>2823</v>
      </c>
      <c r="F33" t="str">
        <f>"8/504"</f>
        <v>8/504</v>
      </c>
      <c r="G33" t="s">
        <v>2880</v>
      </c>
      <c r="H33" t="s">
        <v>2881</v>
      </c>
      <c r="I33">
        <v>37.84</v>
      </c>
    </row>
    <row r="34" spans="1:9" ht="12.75">
      <c r="A34">
        <v>29</v>
      </c>
      <c r="B34" t="s">
        <v>2882</v>
      </c>
      <c r="C34" t="s">
        <v>2826</v>
      </c>
      <c r="D34" t="s">
        <v>2780</v>
      </c>
      <c r="E34" t="s">
        <v>2781</v>
      </c>
      <c r="F34" t="str">
        <f>"10/329"</f>
        <v>10/329</v>
      </c>
      <c r="G34" t="s">
        <v>2883</v>
      </c>
      <c r="H34" t="s">
        <v>2884</v>
      </c>
      <c r="I34">
        <v>37.84</v>
      </c>
    </row>
    <row r="35" spans="1:9" ht="12.75">
      <c r="A35">
        <v>30</v>
      </c>
      <c r="B35" t="s">
        <v>2885</v>
      </c>
      <c r="C35" t="s">
        <v>2886</v>
      </c>
      <c r="D35" t="s">
        <v>2780</v>
      </c>
      <c r="E35" t="s">
        <v>2799</v>
      </c>
      <c r="F35" t="str">
        <f>"5/99"</f>
        <v>5/99</v>
      </c>
      <c r="G35" t="s">
        <v>2787</v>
      </c>
      <c r="H35" t="s">
        <v>2887</v>
      </c>
      <c r="I35">
        <v>37.84</v>
      </c>
    </row>
    <row r="36" spans="1:9" ht="12.75">
      <c r="A36">
        <v>31</v>
      </c>
      <c r="B36" t="s">
        <v>2888</v>
      </c>
      <c r="C36" t="s">
        <v>2865</v>
      </c>
      <c r="D36" t="s">
        <v>2780</v>
      </c>
      <c r="E36" t="s">
        <v>2823</v>
      </c>
      <c r="F36" t="str">
        <f>"9/504"</f>
        <v>9/504</v>
      </c>
      <c r="G36" t="s">
        <v>2889</v>
      </c>
      <c r="H36" t="s">
        <v>2890</v>
      </c>
      <c r="I36">
        <v>37.36</v>
      </c>
    </row>
    <row r="37" spans="1:9" ht="12.75">
      <c r="A37">
        <v>32</v>
      </c>
      <c r="B37" t="s">
        <v>2891</v>
      </c>
      <c r="C37" t="s">
        <v>2840</v>
      </c>
      <c r="D37" t="s">
        <v>2780</v>
      </c>
      <c r="E37" t="s">
        <v>2823</v>
      </c>
      <c r="F37" t="str">
        <f>"10/504"</f>
        <v>10/504</v>
      </c>
      <c r="G37" t="s">
        <v>2892</v>
      </c>
      <c r="H37" t="s">
        <v>2893</v>
      </c>
      <c r="I37">
        <v>37.33</v>
      </c>
    </row>
    <row r="38" spans="1:9" ht="12.75">
      <c r="A38">
        <v>33</v>
      </c>
      <c r="B38" t="s">
        <v>2894</v>
      </c>
      <c r="C38" t="s">
        <v>2895</v>
      </c>
      <c r="D38" t="s">
        <v>2780</v>
      </c>
      <c r="E38" t="s">
        <v>2781</v>
      </c>
      <c r="F38" t="str">
        <f>"11/329"</f>
        <v>11/329</v>
      </c>
      <c r="G38" t="s">
        <v>2896</v>
      </c>
      <c r="H38" t="s">
        <v>2897</v>
      </c>
      <c r="I38">
        <v>37.32</v>
      </c>
    </row>
    <row r="39" spans="1:9" ht="12.75">
      <c r="A39">
        <v>34</v>
      </c>
      <c r="B39" t="s">
        <v>2898</v>
      </c>
      <c r="C39" t="s">
        <v>2810</v>
      </c>
      <c r="D39" t="s">
        <v>2780</v>
      </c>
      <c r="E39" t="s">
        <v>2781</v>
      </c>
      <c r="F39" t="str">
        <f>"12/329"</f>
        <v>12/329</v>
      </c>
      <c r="G39" t="s">
        <v>2899</v>
      </c>
      <c r="H39" t="s">
        <v>2900</v>
      </c>
      <c r="I39">
        <v>37.29</v>
      </c>
    </row>
    <row r="40" spans="1:9" ht="12.75">
      <c r="A40">
        <v>35</v>
      </c>
      <c r="B40" t="s">
        <v>2901</v>
      </c>
      <c r="C40" t="s">
        <v>2902</v>
      </c>
      <c r="D40" t="s">
        <v>2780</v>
      </c>
      <c r="E40" t="s">
        <v>2786</v>
      </c>
      <c r="F40" t="str">
        <f>"7/58"</f>
        <v>7/58</v>
      </c>
      <c r="G40" t="s">
        <v>2903</v>
      </c>
      <c r="H40" t="s">
        <v>2904</v>
      </c>
      <c r="I40">
        <v>37.27</v>
      </c>
    </row>
    <row r="41" spans="1:9" ht="12.75">
      <c r="A41">
        <v>36</v>
      </c>
      <c r="B41" t="s">
        <v>2905</v>
      </c>
      <c r="C41" t="s">
        <v>2906</v>
      </c>
      <c r="D41" t="s">
        <v>2780</v>
      </c>
      <c r="E41" t="s">
        <v>2781</v>
      </c>
      <c r="F41" t="str">
        <f>"13/329"</f>
        <v>13/329</v>
      </c>
      <c r="G41" t="s">
        <v>2907</v>
      </c>
      <c r="H41" t="s">
        <v>2908</v>
      </c>
      <c r="I41">
        <v>37.12</v>
      </c>
    </row>
    <row r="42" spans="1:9" ht="12.75">
      <c r="A42">
        <v>37</v>
      </c>
      <c r="B42" t="s">
        <v>2909</v>
      </c>
      <c r="C42" t="s">
        <v>2910</v>
      </c>
      <c r="D42" t="s">
        <v>2780</v>
      </c>
      <c r="E42" t="s">
        <v>2781</v>
      </c>
      <c r="F42" t="str">
        <f>"15/329"</f>
        <v>15/329</v>
      </c>
      <c r="G42" t="s">
        <v>2911</v>
      </c>
      <c r="H42" t="s">
        <v>2912</v>
      </c>
      <c r="I42">
        <v>37.11</v>
      </c>
    </row>
    <row r="43" spans="1:9" ht="12.75">
      <c r="A43">
        <v>38</v>
      </c>
      <c r="B43" t="s">
        <v>2913</v>
      </c>
      <c r="C43" t="s">
        <v>2914</v>
      </c>
      <c r="D43" t="s">
        <v>2780</v>
      </c>
      <c r="E43" t="s">
        <v>2781</v>
      </c>
      <c r="F43" t="str">
        <f>"14/329"</f>
        <v>14/329</v>
      </c>
      <c r="G43" t="s">
        <v>2911</v>
      </c>
      <c r="H43" t="s">
        <v>2912</v>
      </c>
      <c r="I43">
        <v>37.11</v>
      </c>
    </row>
    <row r="44" spans="1:9" ht="12.75">
      <c r="A44">
        <v>39</v>
      </c>
      <c r="B44" t="s">
        <v>2915</v>
      </c>
      <c r="C44" t="s">
        <v>2916</v>
      </c>
      <c r="D44" t="s">
        <v>2780</v>
      </c>
      <c r="E44" t="s">
        <v>2823</v>
      </c>
      <c r="F44" t="str">
        <f>"11/504"</f>
        <v>11/504</v>
      </c>
      <c r="G44" t="s">
        <v>2917</v>
      </c>
      <c r="H44" t="s">
        <v>2918</v>
      </c>
      <c r="I44">
        <v>37.03</v>
      </c>
    </row>
    <row r="45" spans="1:9" ht="12.75">
      <c r="A45">
        <v>40</v>
      </c>
      <c r="B45" t="s">
        <v>2919</v>
      </c>
      <c r="C45" t="s">
        <v>2895</v>
      </c>
      <c r="D45" t="s">
        <v>2780</v>
      </c>
      <c r="E45" t="s">
        <v>2781</v>
      </c>
      <c r="F45" t="str">
        <f>"16/329"</f>
        <v>16/329</v>
      </c>
      <c r="G45" t="s">
        <v>2920</v>
      </c>
      <c r="H45" t="s">
        <v>2921</v>
      </c>
      <c r="I45">
        <v>36.96</v>
      </c>
    </row>
    <row r="46" spans="1:9" ht="12.75">
      <c r="A46">
        <v>41</v>
      </c>
      <c r="B46" t="s">
        <v>2922</v>
      </c>
      <c r="C46" t="s">
        <v>2865</v>
      </c>
      <c r="D46" t="s">
        <v>2780</v>
      </c>
      <c r="E46" t="s">
        <v>2923</v>
      </c>
      <c r="F46" t="str">
        <f>"1/7"</f>
        <v>1/7</v>
      </c>
      <c r="G46" t="s">
        <v>2924</v>
      </c>
      <c r="H46" t="s">
        <v>2925</v>
      </c>
      <c r="I46">
        <v>36.96</v>
      </c>
    </row>
    <row r="47" spans="1:9" ht="12.75">
      <c r="A47">
        <v>42</v>
      </c>
      <c r="B47" t="s">
        <v>2926</v>
      </c>
      <c r="C47" t="s">
        <v>2807</v>
      </c>
      <c r="D47" t="s">
        <v>2780</v>
      </c>
      <c r="E47" t="s">
        <v>2786</v>
      </c>
      <c r="F47" t="str">
        <f>"8/58"</f>
        <v>8/58</v>
      </c>
      <c r="G47" t="s">
        <v>2854</v>
      </c>
      <c r="H47" t="s">
        <v>2927</v>
      </c>
      <c r="I47">
        <v>36.95</v>
      </c>
    </row>
    <row r="48" spans="1:9" ht="12.75">
      <c r="A48">
        <v>43</v>
      </c>
      <c r="B48" t="s">
        <v>2928</v>
      </c>
      <c r="C48" t="s">
        <v>2807</v>
      </c>
      <c r="D48" t="s">
        <v>2780</v>
      </c>
      <c r="E48" t="s">
        <v>2781</v>
      </c>
      <c r="F48" t="str">
        <f>"17/329"</f>
        <v>17/329</v>
      </c>
      <c r="G48" t="s">
        <v>2854</v>
      </c>
      <c r="H48" t="s">
        <v>2929</v>
      </c>
      <c r="I48">
        <v>36.85</v>
      </c>
    </row>
    <row r="49" spans="1:9" ht="12.75">
      <c r="A49">
        <v>44</v>
      </c>
      <c r="B49" t="s">
        <v>2930</v>
      </c>
      <c r="C49" t="s">
        <v>2931</v>
      </c>
      <c r="D49" t="s">
        <v>2780</v>
      </c>
      <c r="E49" t="s">
        <v>2823</v>
      </c>
      <c r="F49" t="str">
        <f>"12/504"</f>
        <v>12/504</v>
      </c>
      <c r="G49" t="s">
        <v>2932</v>
      </c>
      <c r="H49" t="s">
        <v>2933</v>
      </c>
      <c r="I49">
        <v>36.84</v>
      </c>
    </row>
    <row r="50" spans="1:9" ht="12.75">
      <c r="A50">
        <v>45</v>
      </c>
      <c r="B50" t="s">
        <v>2934</v>
      </c>
      <c r="C50" t="s">
        <v>2935</v>
      </c>
      <c r="D50" t="s">
        <v>2780</v>
      </c>
      <c r="E50" t="s">
        <v>2781</v>
      </c>
      <c r="F50" t="str">
        <f>"18/329"</f>
        <v>18/329</v>
      </c>
      <c r="G50" t="s">
        <v>2936</v>
      </c>
      <c r="H50" t="s">
        <v>2937</v>
      </c>
      <c r="I50">
        <v>36.82</v>
      </c>
    </row>
    <row r="51" spans="1:9" ht="12.75">
      <c r="A51">
        <v>46</v>
      </c>
      <c r="B51" t="s">
        <v>2938</v>
      </c>
      <c r="C51" t="s">
        <v>2939</v>
      </c>
      <c r="D51" t="s">
        <v>2780</v>
      </c>
      <c r="E51" t="s">
        <v>2786</v>
      </c>
      <c r="F51" t="str">
        <f>"9/58"</f>
        <v>9/58</v>
      </c>
      <c r="G51" t="s">
        <v>2782</v>
      </c>
      <c r="H51" t="s">
        <v>2940</v>
      </c>
      <c r="I51">
        <v>36.82</v>
      </c>
    </row>
    <row r="52" spans="1:9" ht="12.75">
      <c r="A52">
        <v>47</v>
      </c>
      <c r="B52" t="s">
        <v>2941</v>
      </c>
      <c r="C52" t="s">
        <v>2942</v>
      </c>
      <c r="D52" t="s">
        <v>2780</v>
      </c>
      <c r="E52" t="s">
        <v>2799</v>
      </c>
      <c r="F52" t="str">
        <f>"6/99"</f>
        <v>6/99</v>
      </c>
      <c r="G52" t="s">
        <v>2943</v>
      </c>
      <c r="H52" t="s">
        <v>2944</v>
      </c>
      <c r="I52">
        <v>36.82</v>
      </c>
    </row>
    <row r="53" spans="1:9" ht="12.75">
      <c r="A53">
        <v>48</v>
      </c>
      <c r="B53" t="s">
        <v>2945</v>
      </c>
      <c r="C53" t="s">
        <v>2946</v>
      </c>
      <c r="D53" t="s">
        <v>2780</v>
      </c>
      <c r="E53" t="s">
        <v>2947</v>
      </c>
      <c r="F53" t="str">
        <f>"1/1"</f>
        <v>1/1</v>
      </c>
      <c r="G53" t="s">
        <v>2948</v>
      </c>
      <c r="H53" t="s">
        <v>2949</v>
      </c>
      <c r="I53">
        <v>36.82</v>
      </c>
    </row>
    <row r="54" spans="1:9" ht="12.75">
      <c r="A54">
        <v>49</v>
      </c>
      <c r="B54" t="s">
        <v>2950</v>
      </c>
      <c r="C54" t="s">
        <v>2951</v>
      </c>
      <c r="D54" t="s">
        <v>2780</v>
      </c>
      <c r="E54" t="s">
        <v>2799</v>
      </c>
      <c r="F54" t="str">
        <f>"7/99"</f>
        <v>7/99</v>
      </c>
      <c r="G54" t="s">
        <v>2787</v>
      </c>
      <c r="H54" t="s">
        <v>2952</v>
      </c>
      <c r="I54">
        <v>36.81</v>
      </c>
    </row>
    <row r="55" spans="1:9" ht="12.75">
      <c r="A55">
        <v>50</v>
      </c>
      <c r="B55" t="s">
        <v>2953</v>
      </c>
      <c r="C55" t="s">
        <v>2840</v>
      </c>
      <c r="D55" t="s">
        <v>2780</v>
      </c>
      <c r="E55" t="s">
        <v>2823</v>
      </c>
      <c r="F55" t="str">
        <f>"13/504"</f>
        <v>13/504</v>
      </c>
      <c r="G55" t="s">
        <v>2844</v>
      </c>
      <c r="H55" t="s">
        <v>2954</v>
      </c>
      <c r="I55">
        <v>36.81</v>
      </c>
    </row>
    <row r="56" spans="1:9" ht="12.75">
      <c r="A56">
        <v>51</v>
      </c>
      <c r="B56" t="s">
        <v>2955</v>
      </c>
      <c r="C56" t="s">
        <v>2956</v>
      </c>
      <c r="D56" t="s">
        <v>2780</v>
      </c>
      <c r="E56" t="s">
        <v>2781</v>
      </c>
      <c r="F56" t="str">
        <f>"19/329"</f>
        <v>19/329</v>
      </c>
      <c r="G56" t="s">
        <v>2936</v>
      </c>
      <c r="H56" t="s">
        <v>2957</v>
      </c>
      <c r="I56">
        <v>36.81</v>
      </c>
    </row>
    <row r="57" spans="1:9" ht="12.75">
      <c r="A57">
        <v>52</v>
      </c>
      <c r="B57" t="s">
        <v>2958</v>
      </c>
      <c r="C57" t="s">
        <v>2861</v>
      </c>
      <c r="D57" t="s">
        <v>2780</v>
      </c>
      <c r="E57" t="s">
        <v>2823</v>
      </c>
      <c r="F57" t="str">
        <f>"14/504"</f>
        <v>14/504</v>
      </c>
      <c r="G57" t="s">
        <v>2862</v>
      </c>
      <c r="H57" t="s">
        <v>2959</v>
      </c>
      <c r="I57">
        <v>36.81</v>
      </c>
    </row>
    <row r="58" spans="1:9" ht="12.75">
      <c r="A58">
        <v>53</v>
      </c>
      <c r="B58" t="s">
        <v>2960</v>
      </c>
      <c r="C58" t="s">
        <v>2961</v>
      </c>
      <c r="D58" t="s">
        <v>2780</v>
      </c>
      <c r="E58" t="s">
        <v>2818</v>
      </c>
      <c r="F58" t="str">
        <f>"2/307"</f>
        <v>2/307</v>
      </c>
      <c r="G58" t="s">
        <v>2844</v>
      </c>
      <c r="H58" t="s">
        <v>2959</v>
      </c>
      <c r="I58">
        <v>36.81</v>
      </c>
    </row>
    <row r="59" spans="1:9" ht="12.75">
      <c r="A59">
        <v>54</v>
      </c>
      <c r="B59" t="s">
        <v>2962</v>
      </c>
      <c r="C59" t="s">
        <v>2963</v>
      </c>
      <c r="D59" t="s">
        <v>2780</v>
      </c>
      <c r="E59" t="s">
        <v>2823</v>
      </c>
      <c r="F59" t="str">
        <f>"15/504"</f>
        <v>15/504</v>
      </c>
      <c r="G59" t="s">
        <v>2787</v>
      </c>
      <c r="H59" t="s">
        <v>2964</v>
      </c>
      <c r="I59">
        <v>36.81</v>
      </c>
    </row>
    <row r="60" spans="1:9" ht="12.75">
      <c r="A60">
        <v>55</v>
      </c>
      <c r="B60" t="s">
        <v>2965</v>
      </c>
      <c r="C60" t="s">
        <v>2966</v>
      </c>
      <c r="D60" t="s">
        <v>2780</v>
      </c>
      <c r="E60" t="s">
        <v>2781</v>
      </c>
      <c r="F60" t="str">
        <f>"20/329"</f>
        <v>20/329</v>
      </c>
      <c r="G60" t="s">
        <v>2844</v>
      </c>
      <c r="H60" t="s">
        <v>2967</v>
      </c>
      <c r="I60">
        <v>36.81</v>
      </c>
    </row>
    <row r="61" spans="1:9" ht="12.75">
      <c r="A61">
        <v>56</v>
      </c>
      <c r="B61" t="s">
        <v>2968</v>
      </c>
      <c r="C61" t="s">
        <v>2916</v>
      </c>
      <c r="D61" t="s">
        <v>2780</v>
      </c>
      <c r="E61" t="s">
        <v>2781</v>
      </c>
      <c r="F61" t="str">
        <f>"21/329"</f>
        <v>21/329</v>
      </c>
      <c r="G61" t="s">
        <v>2969</v>
      </c>
      <c r="H61" t="s">
        <v>2970</v>
      </c>
      <c r="I61">
        <v>36.81</v>
      </c>
    </row>
    <row r="62" spans="1:9" ht="12.75">
      <c r="A62">
        <v>57</v>
      </c>
      <c r="B62" t="s">
        <v>2971</v>
      </c>
      <c r="C62" t="s">
        <v>2972</v>
      </c>
      <c r="D62" t="s">
        <v>2780</v>
      </c>
      <c r="E62" t="s">
        <v>2973</v>
      </c>
      <c r="F62" t="str">
        <f>"1/167"</f>
        <v>1/167</v>
      </c>
      <c r="G62" t="s">
        <v>2974</v>
      </c>
      <c r="H62" t="s">
        <v>2975</v>
      </c>
      <c r="I62">
        <v>36.81</v>
      </c>
    </row>
    <row r="63" spans="1:9" ht="12.75">
      <c r="A63">
        <v>58</v>
      </c>
      <c r="B63" t="s">
        <v>2976</v>
      </c>
      <c r="C63" t="s">
        <v>2807</v>
      </c>
      <c r="D63" t="s">
        <v>2780</v>
      </c>
      <c r="E63" t="s">
        <v>2786</v>
      </c>
      <c r="F63" t="str">
        <f>"10/58"</f>
        <v>10/58</v>
      </c>
      <c r="G63" t="s">
        <v>2844</v>
      </c>
      <c r="H63" t="s">
        <v>2977</v>
      </c>
      <c r="I63">
        <v>36.81</v>
      </c>
    </row>
    <row r="64" spans="1:9" ht="12.75">
      <c r="A64">
        <v>59</v>
      </c>
      <c r="B64" t="s">
        <v>2978</v>
      </c>
      <c r="C64" t="s">
        <v>2865</v>
      </c>
      <c r="D64" t="s">
        <v>2780</v>
      </c>
      <c r="E64" t="s">
        <v>2823</v>
      </c>
      <c r="F64" t="str">
        <f>"16/504"</f>
        <v>16/504</v>
      </c>
      <c r="G64" t="s">
        <v>2969</v>
      </c>
      <c r="H64" t="s">
        <v>2979</v>
      </c>
      <c r="I64">
        <v>36.81</v>
      </c>
    </row>
    <row r="65" spans="1:9" ht="12.75">
      <c r="A65">
        <v>60</v>
      </c>
      <c r="B65" t="s">
        <v>2980</v>
      </c>
      <c r="C65" t="s">
        <v>2981</v>
      </c>
      <c r="D65" t="s">
        <v>2780</v>
      </c>
      <c r="E65" t="s">
        <v>2781</v>
      </c>
      <c r="F65" t="str">
        <f>"22/329"</f>
        <v>22/329</v>
      </c>
      <c r="G65" t="s">
        <v>2982</v>
      </c>
      <c r="H65" t="s">
        <v>2983</v>
      </c>
      <c r="I65">
        <v>36.8</v>
      </c>
    </row>
    <row r="66" spans="1:9" ht="12.75">
      <c r="A66">
        <v>61</v>
      </c>
      <c r="B66" t="s">
        <v>2984</v>
      </c>
      <c r="C66" t="s">
        <v>2914</v>
      </c>
      <c r="D66" t="s">
        <v>2780</v>
      </c>
      <c r="E66" t="s">
        <v>2781</v>
      </c>
      <c r="F66" t="str">
        <f>"23/329"</f>
        <v>23/329</v>
      </c>
      <c r="G66" t="s">
        <v>2943</v>
      </c>
      <c r="H66" t="s">
        <v>2985</v>
      </c>
      <c r="I66">
        <v>36.8</v>
      </c>
    </row>
    <row r="67" spans="1:9" ht="12.75">
      <c r="A67">
        <v>62</v>
      </c>
      <c r="B67" t="s">
        <v>2986</v>
      </c>
      <c r="C67" t="s">
        <v>2868</v>
      </c>
      <c r="D67" t="s">
        <v>2780</v>
      </c>
      <c r="E67" t="s">
        <v>2781</v>
      </c>
      <c r="F67" t="str">
        <f>"24/329"</f>
        <v>24/329</v>
      </c>
      <c r="G67" t="s">
        <v>2974</v>
      </c>
      <c r="H67" t="s">
        <v>2987</v>
      </c>
      <c r="I67">
        <v>36.79</v>
      </c>
    </row>
    <row r="68" spans="1:9" ht="12.75">
      <c r="A68">
        <v>63</v>
      </c>
      <c r="B68" t="s">
        <v>2988</v>
      </c>
      <c r="C68" t="s">
        <v>2916</v>
      </c>
      <c r="D68" t="s">
        <v>2780</v>
      </c>
      <c r="E68" t="s">
        <v>2799</v>
      </c>
      <c r="F68" t="str">
        <f>"8/99"</f>
        <v>8/99</v>
      </c>
      <c r="G68" t="s">
        <v>2844</v>
      </c>
      <c r="H68" t="s">
        <v>2989</v>
      </c>
      <c r="I68">
        <v>36.79</v>
      </c>
    </row>
    <row r="69" spans="1:9" ht="12.75">
      <c r="A69">
        <v>64</v>
      </c>
      <c r="B69" t="s">
        <v>2990</v>
      </c>
      <c r="C69" t="s">
        <v>2991</v>
      </c>
      <c r="D69" t="s">
        <v>2780</v>
      </c>
      <c r="E69" t="s">
        <v>2781</v>
      </c>
      <c r="F69" t="str">
        <f>"25/329"</f>
        <v>25/329</v>
      </c>
      <c r="G69" t="s">
        <v>2851</v>
      </c>
      <c r="H69" t="s">
        <v>2992</v>
      </c>
      <c r="I69">
        <v>36.79</v>
      </c>
    </row>
    <row r="70" spans="1:9" ht="12.75">
      <c r="A70">
        <v>65</v>
      </c>
      <c r="B70" t="s">
        <v>2993</v>
      </c>
      <c r="C70" t="s">
        <v>2861</v>
      </c>
      <c r="D70" t="s">
        <v>2780</v>
      </c>
      <c r="E70" t="s">
        <v>2823</v>
      </c>
      <c r="F70" t="str">
        <f>"17/504"</f>
        <v>17/504</v>
      </c>
      <c r="G70" t="s">
        <v>2994</v>
      </c>
      <c r="H70" t="s">
        <v>2995</v>
      </c>
      <c r="I70">
        <v>36.76</v>
      </c>
    </row>
    <row r="71" spans="1:9" ht="12.75">
      <c r="A71">
        <v>66</v>
      </c>
      <c r="B71" t="s">
        <v>2996</v>
      </c>
      <c r="C71" t="s">
        <v>2997</v>
      </c>
      <c r="D71" t="s">
        <v>2780</v>
      </c>
      <c r="E71" t="s">
        <v>2781</v>
      </c>
      <c r="F71" t="str">
        <f>"26/329"</f>
        <v>26/329</v>
      </c>
      <c r="G71" t="s">
        <v>2998</v>
      </c>
      <c r="H71" t="s">
        <v>2999</v>
      </c>
      <c r="I71">
        <v>36.67</v>
      </c>
    </row>
    <row r="72" spans="1:9" ht="12.75">
      <c r="A72">
        <v>67</v>
      </c>
      <c r="B72" t="s">
        <v>3000</v>
      </c>
      <c r="C72" t="s">
        <v>2814</v>
      </c>
      <c r="D72" t="s">
        <v>2780</v>
      </c>
      <c r="E72" t="s">
        <v>2923</v>
      </c>
      <c r="F72" t="str">
        <f>"2/7"</f>
        <v>2/7</v>
      </c>
      <c r="H72" t="s">
        <v>3001</v>
      </c>
      <c r="I72">
        <v>36.64</v>
      </c>
    </row>
    <row r="73" spans="1:9" ht="12.75">
      <c r="A73">
        <v>68</v>
      </c>
      <c r="B73" t="s">
        <v>3002</v>
      </c>
      <c r="C73" t="s">
        <v>3003</v>
      </c>
      <c r="D73" t="s">
        <v>2780</v>
      </c>
      <c r="E73" t="s">
        <v>2823</v>
      </c>
      <c r="F73" t="str">
        <f>"18/504"</f>
        <v>18/504</v>
      </c>
      <c r="G73" t="s">
        <v>2994</v>
      </c>
      <c r="H73" t="s">
        <v>3004</v>
      </c>
      <c r="I73">
        <v>36.57</v>
      </c>
    </row>
    <row r="74" spans="1:9" ht="12.75">
      <c r="A74">
        <v>69</v>
      </c>
      <c r="B74" t="s">
        <v>3005</v>
      </c>
      <c r="C74" t="s">
        <v>2836</v>
      </c>
      <c r="D74" t="s">
        <v>2780</v>
      </c>
      <c r="E74" t="s">
        <v>2799</v>
      </c>
      <c r="F74" t="str">
        <f>"9/99"</f>
        <v>9/99</v>
      </c>
      <c r="G74" t="s">
        <v>2869</v>
      </c>
      <c r="H74" t="s">
        <v>3006</v>
      </c>
      <c r="I74">
        <v>36.44</v>
      </c>
    </row>
    <row r="75" spans="1:9" ht="12.75">
      <c r="A75">
        <v>70</v>
      </c>
      <c r="B75" t="s">
        <v>3007</v>
      </c>
      <c r="C75" t="s">
        <v>3008</v>
      </c>
      <c r="D75" t="s">
        <v>2780</v>
      </c>
      <c r="E75" t="s">
        <v>2781</v>
      </c>
      <c r="F75" t="str">
        <f>"27/329"</f>
        <v>27/329</v>
      </c>
      <c r="G75" t="s">
        <v>2936</v>
      </c>
      <c r="H75" t="s">
        <v>3006</v>
      </c>
      <c r="I75">
        <v>36.44</v>
      </c>
    </row>
    <row r="76" spans="1:9" ht="12.75">
      <c r="A76">
        <v>71</v>
      </c>
      <c r="B76" t="s">
        <v>3009</v>
      </c>
      <c r="C76" t="s">
        <v>3010</v>
      </c>
      <c r="D76" t="s">
        <v>2780</v>
      </c>
      <c r="E76" t="s">
        <v>2781</v>
      </c>
      <c r="F76" t="str">
        <f>"28/329"</f>
        <v>28/329</v>
      </c>
      <c r="G76" t="s">
        <v>3011</v>
      </c>
      <c r="H76" t="s">
        <v>3012</v>
      </c>
      <c r="I76">
        <v>36.44</v>
      </c>
    </row>
    <row r="77" spans="1:9" ht="12.75">
      <c r="A77">
        <v>72</v>
      </c>
      <c r="B77" t="s">
        <v>3013</v>
      </c>
      <c r="C77" t="s">
        <v>2779</v>
      </c>
      <c r="D77" t="s">
        <v>2780</v>
      </c>
      <c r="E77" t="s">
        <v>2786</v>
      </c>
      <c r="F77" t="str">
        <f>"11/58"</f>
        <v>11/58</v>
      </c>
      <c r="G77" t="s">
        <v>3014</v>
      </c>
      <c r="H77" t="s">
        <v>3015</v>
      </c>
      <c r="I77">
        <v>36.44</v>
      </c>
    </row>
    <row r="78" spans="1:9" ht="12.75">
      <c r="A78">
        <v>73</v>
      </c>
      <c r="B78" t="s">
        <v>3016</v>
      </c>
      <c r="C78" t="s">
        <v>3017</v>
      </c>
      <c r="D78" t="s">
        <v>2780</v>
      </c>
      <c r="E78" t="s">
        <v>2781</v>
      </c>
      <c r="F78" t="str">
        <f>"29/329"</f>
        <v>29/329</v>
      </c>
      <c r="G78" t="s">
        <v>3018</v>
      </c>
      <c r="H78" t="s">
        <v>3019</v>
      </c>
      <c r="I78">
        <v>36.44</v>
      </c>
    </row>
    <row r="79" spans="1:9" ht="12.75">
      <c r="A79">
        <v>74</v>
      </c>
      <c r="B79" t="s">
        <v>3020</v>
      </c>
      <c r="C79" t="s">
        <v>3021</v>
      </c>
      <c r="D79" t="s">
        <v>2780</v>
      </c>
      <c r="E79" t="s">
        <v>2823</v>
      </c>
      <c r="F79" t="str">
        <f>"19/504"</f>
        <v>19/504</v>
      </c>
      <c r="G79" t="s">
        <v>3022</v>
      </c>
      <c r="H79" t="s">
        <v>3023</v>
      </c>
      <c r="I79">
        <v>36.44</v>
      </c>
    </row>
    <row r="80" spans="1:9" ht="12.75">
      <c r="A80">
        <v>75</v>
      </c>
      <c r="B80" t="s">
        <v>3024</v>
      </c>
      <c r="C80" t="s">
        <v>3025</v>
      </c>
      <c r="D80" t="s">
        <v>2780</v>
      </c>
      <c r="E80" t="s">
        <v>2823</v>
      </c>
      <c r="F80" t="str">
        <f>"20/504"</f>
        <v>20/504</v>
      </c>
      <c r="G80" t="s">
        <v>2787</v>
      </c>
      <c r="H80" t="s">
        <v>3026</v>
      </c>
      <c r="I80">
        <v>36.44</v>
      </c>
    </row>
    <row r="81" spans="1:9" ht="12.75">
      <c r="A81">
        <v>76</v>
      </c>
      <c r="B81" t="s">
        <v>2843</v>
      </c>
      <c r="C81" t="s">
        <v>2836</v>
      </c>
      <c r="D81" t="s">
        <v>2780</v>
      </c>
      <c r="E81" t="s">
        <v>2823</v>
      </c>
      <c r="F81" t="str">
        <f>"21/504"</f>
        <v>21/504</v>
      </c>
      <c r="G81" t="s">
        <v>3027</v>
      </c>
      <c r="H81" t="s">
        <v>3028</v>
      </c>
      <c r="I81">
        <v>36.43</v>
      </c>
    </row>
    <row r="82" spans="1:9" ht="12.75">
      <c r="A82">
        <v>77</v>
      </c>
      <c r="B82" t="s">
        <v>3029</v>
      </c>
      <c r="C82" t="s">
        <v>3030</v>
      </c>
      <c r="D82" t="s">
        <v>3031</v>
      </c>
      <c r="E82" t="s">
        <v>3032</v>
      </c>
      <c r="F82" t="str">
        <f>"1/54"</f>
        <v>1/54</v>
      </c>
      <c r="G82" t="s">
        <v>3033</v>
      </c>
      <c r="H82" t="s">
        <v>3034</v>
      </c>
      <c r="I82">
        <v>36.42</v>
      </c>
    </row>
    <row r="83" spans="1:9" ht="12.75">
      <c r="A83">
        <v>78</v>
      </c>
      <c r="B83" t="s">
        <v>3035</v>
      </c>
      <c r="C83" t="s">
        <v>3010</v>
      </c>
      <c r="D83" t="s">
        <v>2780</v>
      </c>
      <c r="E83" t="s">
        <v>2781</v>
      </c>
      <c r="F83" t="str">
        <f>"30/329"</f>
        <v>30/329</v>
      </c>
      <c r="G83" t="s">
        <v>2787</v>
      </c>
      <c r="H83" t="s">
        <v>3036</v>
      </c>
      <c r="I83">
        <v>36.42</v>
      </c>
    </row>
    <row r="84" spans="1:9" ht="12.75">
      <c r="A84">
        <v>79</v>
      </c>
      <c r="B84" t="s">
        <v>3037</v>
      </c>
      <c r="C84" t="s">
        <v>3038</v>
      </c>
      <c r="D84" t="s">
        <v>2780</v>
      </c>
      <c r="E84" t="s">
        <v>2823</v>
      </c>
      <c r="F84" t="str">
        <f>"22/504"</f>
        <v>22/504</v>
      </c>
      <c r="G84" t="s">
        <v>3039</v>
      </c>
      <c r="H84" t="s">
        <v>3040</v>
      </c>
      <c r="I84">
        <v>36.28</v>
      </c>
    </row>
    <row r="85" spans="1:9" ht="12.75">
      <c r="A85">
        <v>80</v>
      </c>
      <c r="B85" t="s">
        <v>3041</v>
      </c>
      <c r="C85" t="s">
        <v>2857</v>
      </c>
      <c r="D85" t="s">
        <v>2780</v>
      </c>
      <c r="E85" t="s">
        <v>2781</v>
      </c>
      <c r="F85" t="str">
        <f>"31/329"</f>
        <v>31/329</v>
      </c>
      <c r="G85" t="s">
        <v>3042</v>
      </c>
      <c r="H85" t="s">
        <v>3043</v>
      </c>
      <c r="I85">
        <v>36.27</v>
      </c>
    </row>
    <row r="86" spans="1:9" ht="12.75">
      <c r="A86">
        <v>81</v>
      </c>
      <c r="B86" t="s">
        <v>3044</v>
      </c>
      <c r="C86" t="s">
        <v>3045</v>
      </c>
      <c r="D86" t="s">
        <v>2780</v>
      </c>
      <c r="E86" t="s">
        <v>2781</v>
      </c>
      <c r="F86" t="str">
        <f>"32/329"</f>
        <v>32/329</v>
      </c>
      <c r="G86" t="s">
        <v>3046</v>
      </c>
      <c r="H86" t="s">
        <v>3047</v>
      </c>
      <c r="I86">
        <v>36.24</v>
      </c>
    </row>
    <row r="87" spans="1:9" ht="12.75">
      <c r="A87">
        <v>82</v>
      </c>
      <c r="B87" t="s">
        <v>3048</v>
      </c>
      <c r="C87" t="s">
        <v>2951</v>
      </c>
      <c r="D87" t="s">
        <v>2780</v>
      </c>
      <c r="E87" t="s">
        <v>2786</v>
      </c>
      <c r="F87" t="str">
        <f>"12/58"</f>
        <v>12/58</v>
      </c>
      <c r="G87" t="s">
        <v>3049</v>
      </c>
      <c r="H87" t="s">
        <v>3050</v>
      </c>
      <c r="I87">
        <v>36.23</v>
      </c>
    </row>
    <row r="88" spans="1:9" ht="12.75">
      <c r="A88">
        <v>83</v>
      </c>
      <c r="B88" t="s">
        <v>3051</v>
      </c>
      <c r="C88" t="s">
        <v>2916</v>
      </c>
      <c r="D88" t="s">
        <v>2780</v>
      </c>
      <c r="E88" t="s">
        <v>2799</v>
      </c>
      <c r="F88" t="str">
        <f>"10/99"</f>
        <v>10/99</v>
      </c>
      <c r="G88" t="s">
        <v>3052</v>
      </c>
      <c r="H88" t="s">
        <v>3053</v>
      </c>
      <c r="I88">
        <v>36.22</v>
      </c>
    </row>
    <row r="89" spans="1:9" ht="12.75">
      <c r="A89">
        <v>84</v>
      </c>
      <c r="B89" t="s">
        <v>3054</v>
      </c>
      <c r="C89" t="s">
        <v>2895</v>
      </c>
      <c r="D89" t="s">
        <v>2780</v>
      </c>
      <c r="E89" t="s">
        <v>2781</v>
      </c>
      <c r="F89" t="str">
        <f>"33/329"</f>
        <v>33/329</v>
      </c>
      <c r="G89" t="s">
        <v>2889</v>
      </c>
      <c r="H89" t="s">
        <v>3055</v>
      </c>
      <c r="I89">
        <v>36.21</v>
      </c>
    </row>
    <row r="90" spans="1:9" ht="12.75">
      <c r="A90">
        <v>85</v>
      </c>
      <c r="B90" t="s">
        <v>3056</v>
      </c>
      <c r="C90" t="s">
        <v>3057</v>
      </c>
      <c r="D90" t="s">
        <v>2780</v>
      </c>
      <c r="E90" t="s">
        <v>2781</v>
      </c>
      <c r="F90" t="str">
        <f>"34/329"</f>
        <v>34/329</v>
      </c>
      <c r="G90" t="s">
        <v>3058</v>
      </c>
      <c r="H90" t="s">
        <v>3059</v>
      </c>
      <c r="I90">
        <v>36.17</v>
      </c>
    </row>
    <row r="91" spans="1:9" ht="12.75">
      <c r="A91">
        <v>86</v>
      </c>
      <c r="B91" t="s">
        <v>3037</v>
      </c>
      <c r="C91" t="s">
        <v>2963</v>
      </c>
      <c r="D91" t="s">
        <v>2780</v>
      </c>
      <c r="E91" t="s">
        <v>2781</v>
      </c>
      <c r="F91" t="str">
        <f>"35/329"</f>
        <v>35/329</v>
      </c>
      <c r="G91" t="s">
        <v>3060</v>
      </c>
      <c r="H91" t="s">
        <v>3061</v>
      </c>
      <c r="I91">
        <v>36.09</v>
      </c>
    </row>
    <row r="92" spans="1:9" ht="12.75">
      <c r="A92">
        <v>87</v>
      </c>
      <c r="B92" t="s">
        <v>3062</v>
      </c>
      <c r="C92" t="s">
        <v>3063</v>
      </c>
      <c r="D92" t="s">
        <v>2780</v>
      </c>
      <c r="E92" t="s">
        <v>2781</v>
      </c>
      <c r="F92" t="str">
        <f>"36/329"</f>
        <v>36/329</v>
      </c>
      <c r="G92" t="s">
        <v>2782</v>
      </c>
      <c r="H92" t="s">
        <v>3064</v>
      </c>
      <c r="I92">
        <v>36.09</v>
      </c>
    </row>
    <row r="93" spans="1:9" ht="12.75">
      <c r="A93">
        <v>88</v>
      </c>
      <c r="B93" t="s">
        <v>3065</v>
      </c>
      <c r="C93" t="s">
        <v>3066</v>
      </c>
      <c r="D93" t="s">
        <v>2780</v>
      </c>
      <c r="E93" t="s">
        <v>2786</v>
      </c>
      <c r="F93" t="str">
        <f>"13/58"</f>
        <v>13/58</v>
      </c>
      <c r="G93" t="s">
        <v>3067</v>
      </c>
      <c r="H93" t="s">
        <v>3068</v>
      </c>
      <c r="I93">
        <v>36.09</v>
      </c>
    </row>
    <row r="94" spans="1:9" ht="12.75">
      <c r="A94">
        <v>89</v>
      </c>
      <c r="B94" t="s">
        <v>3069</v>
      </c>
      <c r="C94" t="s">
        <v>2942</v>
      </c>
      <c r="D94" t="s">
        <v>2780</v>
      </c>
      <c r="E94" t="s">
        <v>2823</v>
      </c>
      <c r="F94" t="str">
        <f>"23/504"</f>
        <v>23/504</v>
      </c>
      <c r="G94" t="s">
        <v>3070</v>
      </c>
      <c r="H94" t="s">
        <v>3071</v>
      </c>
      <c r="I94">
        <v>36.07</v>
      </c>
    </row>
    <row r="95" spans="1:9" ht="12.75">
      <c r="A95">
        <v>90</v>
      </c>
      <c r="B95" t="s">
        <v>3072</v>
      </c>
      <c r="C95" t="s">
        <v>2865</v>
      </c>
      <c r="D95" t="s">
        <v>2780</v>
      </c>
      <c r="E95" t="s">
        <v>2823</v>
      </c>
      <c r="F95" t="str">
        <f>"24/504"</f>
        <v>24/504</v>
      </c>
      <c r="G95" t="s">
        <v>2896</v>
      </c>
      <c r="H95" t="s">
        <v>3073</v>
      </c>
      <c r="I95">
        <v>35.99</v>
      </c>
    </row>
    <row r="96" spans="1:9" ht="12.75">
      <c r="A96">
        <v>91</v>
      </c>
      <c r="B96" t="s">
        <v>3074</v>
      </c>
      <c r="C96" t="s">
        <v>2836</v>
      </c>
      <c r="D96" t="s">
        <v>2780</v>
      </c>
      <c r="E96" t="s">
        <v>2786</v>
      </c>
      <c r="F96" t="str">
        <f>"14/58"</f>
        <v>14/58</v>
      </c>
      <c r="G96" t="s">
        <v>3075</v>
      </c>
      <c r="H96" t="s">
        <v>3076</v>
      </c>
      <c r="I96">
        <v>35.96</v>
      </c>
    </row>
    <row r="97" spans="1:9" ht="12.75">
      <c r="A97">
        <v>92</v>
      </c>
      <c r="B97" t="s">
        <v>3077</v>
      </c>
      <c r="C97" t="s">
        <v>3078</v>
      </c>
      <c r="D97" t="s">
        <v>2780</v>
      </c>
      <c r="E97" t="s">
        <v>2781</v>
      </c>
      <c r="F97" t="str">
        <f>"37/329"</f>
        <v>37/329</v>
      </c>
      <c r="G97" t="s">
        <v>3079</v>
      </c>
      <c r="H97" t="s">
        <v>3080</v>
      </c>
      <c r="I97">
        <v>35.79</v>
      </c>
    </row>
    <row r="98" spans="1:9" ht="12.75">
      <c r="A98">
        <v>93</v>
      </c>
      <c r="B98" t="s">
        <v>3081</v>
      </c>
      <c r="C98" t="s">
        <v>2807</v>
      </c>
      <c r="D98" t="s">
        <v>2780</v>
      </c>
      <c r="E98" t="s">
        <v>2781</v>
      </c>
      <c r="F98" t="str">
        <f>"38/329"</f>
        <v>38/329</v>
      </c>
      <c r="G98" t="s">
        <v>3082</v>
      </c>
      <c r="H98" t="s">
        <v>3083</v>
      </c>
      <c r="I98">
        <v>35.79</v>
      </c>
    </row>
    <row r="99" spans="1:9" ht="12.75">
      <c r="A99">
        <v>94</v>
      </c>
      <c r="B99" t="s">
        <v>3084</v>
      </c>
      <c r="C99" t="s">
        <v>2895</v>
      </c>
      <c r="D99" t="s">
        <v>2780</v>
      </c>
      <c r="E99" t="s">
        <v>2823</v>
      </c>
      <c r="F99" t="str">
        <f>"25/504"</f>
        <v>25/504</v>
      </c>
      <c r="G99" t="s">
        <v>3033</v>
      </c>
      <c r="H99" t="s">
        <v>3085</v>
      </c>
      <c r="I99">
        <v>35.78</v>
      </c>
    </row>
    <row r="100" spans="1:9" ht="12.75">
      <c r="A100">
        <v>95</v>
      </c>
      <c r="B100" t="s">
        <v>3086</v>
      </c>
      <c r="C100" t="s">
        <v>3087</v>
      </c>
      <c r="D100" t="s">
        <v>2780</v>
      </c>
      <c r="E100" t="s">
        <v>2823</v>
      </c>
      <c r="F100" t="str">
        <f>"26/504"</f>
        <v>26/504</v>
      </c>
      <c r="G100" t="s">
        <v>3088</v>
      </c>
      <c r="H100" t="s">
        <v>3089</v>
      </c>
      <c r="I100">
        <v>35.72</v>
      </c>
    </row>
    <row r="101" spans="1:9" ht="12.75">
      <c r="A101">
        <v>96</v>
      </c>
      <c r="B101" t="s">
        <v>3090</v>
      </c>
      <c r="C101" t="s">
        <v>3091</v>
      </c>
      <c r="D101" t="s">
        <v>2780</v>
      </c>
      <c r="E101" t="s">
        <v>2818</v>
      </c>
      <c r="F101" t="str">
        <f>"3/307"</f>
        <v>3/307</v>
      </c>
      <c r="G101" t="s">
        <v>3092</v>
      </c>
      <c r="H101" t="s">
        <v>3093</v>
      </c>
      <c r="I101">
        <v>35.71</v>
      </c>
    </row>
    <row r="102" spans="1:9" ht="12.75">
      <c r="A102">
        <v>97</v>
      </c>
      <c r="B102" t="s">
        <v>3094</v>
      </c>
      <c r="C102" t="s">
        <v>2814</v>
      </c>
      <c r="D102" t="s">
        <v>2780</v>
      </c>
      <c r="E102" t="s">
        <v>2799</v>
      </c>
      <c r="F102" t="str">
        <f>"11/99"</f>
        <v>11/99</v>
      </c>
      <c r="G102" t="s">
        <v>3095</v>
      </c>
      <c r="H102" t="s">
        <v>3096</v>
      </c>
      <c r="I102">
        <v>35.71</v>
      </c>
    </row>
    <row r="103" spans="1:9" ht="12.75">
      <c r="A103">
        <v>98</v>
      </c>
      <c r="B103" t="s">
        <v>3097</v>
      </c>
      <c r="C103" t="s">
        <v>3098</v>
      </c>
      <c r="D103" t="s">
        <v>2780</v>
      </c>
      <c r="E103" t="s">
        <v>2786</v>
      </c>
      <c r="F103" t="str">
        <f>"15/58"</f>
        <v>15/58</v>
      </c>
      <c r="G103" t="s">
        <v>3099</v>
      </c>
      <c r="H103" t="s">
        <v>3100</v>
      </c>
      <c r="I103">
        <v>35.71</v>
      </c>
    </row>
    <row r="104" spans="1:9" ht="12.75">
      <c r="A104">
        <v>99</v>
      </c>
      <c r="B104" t="s">
        <v>3101</v>
      </c>
      <c r="C104" t="s">
        <v>3102</v>
      </c>
      <c r="D104" t="s">
        <v>2780</v>
      </c>
      <c r="E104" t="s">
        <v>2973</v>
      </c>
      <c r="F104" t="str">
        <f>"2/167"</f>
        <v>2/167</v>
      </c>
      <c r="G104" t="s">
        <v>3103</v>
      </c>
      <c r="H104" t="s">
        <v>3104</v>
      </c>
      <c r="I104">
        <v>35.71</v>
      </c>
    </row>
    <row r="105" spans="1:9" ht="12.75">
      <c r="A105">
        <v>100</v>
      </c>
      <c r="B105" t="s">
        <v>3105</v>
      </c>
      <c r="C105" t="s">
        <v>2966</v>
      </c>
      <c r="D105" t="s">
        <v>2780</v>
      </c>
      <c r="E105" t="s">
        <v>2781</v>
      </c>
      <c r="F105" t="str">
        <f>"39/329"</f>
        <v>39/329</v>
      </c>
      <c r="G105" t="s">
        <v>3046</v>
      </c>
      <c r="H105" t="s">
        <v>3106</v>
      </c>
      <c r="I105">
        <v>35.7</v>
      </c>
    </row>
    <row r="106" spans="1:9" ht="12.75">
      <c r="A106">
        <v>101</v>
      </c>
      <c r="B106" t="s">
        <v>3107</v>
      </c>
      <c r="C106" t="s">
        <v>3108</v>
      </c>
      <c r="D106" t="s">
        <v>2780</v>
      </c>
      <c r="E106" t="s">
        <v>2973</v>
      </c>
      <c r="F106" t="str">
        <f>"3/167"</f>
        <v>3/167</v>
      </c>
      <c r="G106" t="s">
        <v>2787</v>
      </c>
      <c r="H106" t="s">
        <v>3109</v>
      </c>
      <c r="I106">
        <v>35.7</v>
      </c>
    </row>
    <row r="107" spans="1:9" ht="12.75">
      <c r="A107">
        <v>102</v>
      </c>
      <c r="B107" t="s">
        <v>3110</v>
      </c>
      <c r="C107" t="s">
        <v>2857</v>
      </c>
      <c r="D107" t="s">
        <v>2780</v>
      </c>
      <c r="E107" t="s">
        <v>2781</v>
      </c>
      <c r="F107" t="str">
        <f>"40/329"</f>
        <v>40/329</v>
      </c>
      <c r="G107" t="s">
        <v>3111</v>
      </c>
      <c r="H107" t="s">
        <v>3112</v>
      </c>
      <c r="I107">
        <v>35.7</v>
      </c>
    </row>
    <row r="108" spans="1:9" ht="12.75">
      <c r="A108">
        <v>103</v>
      </c>
      <c r="B108" t="s">
        <v>3113</v>
      </c>
      <c r="C108" t="s">
        <v>3114</v>
      </c>
      <c r="D108" t="s">
        <v>2780</v>
      </c>
      <c r="E108" t="s">
        <v>2781</v>
      </c>
      <c r="F108" t="str">
        <f>"41/329"</f>
        <v>41/329</v>
      </c>
      <c r="G108" t="s">
        <v>3067</v>
      </c>
      <c r="H108" t="s">
        <v>3112</v>
      </c>
      <c r="I108">
        <v>35.7</v>
      </c>
    </row>
    <row r="109" spans="1:9" ht="12.75">
      <c r="A109">
        <v>104</v>
      </c>
      <c r="B109" t="s">
        <v>3115</v>
      </c>
      <c r="C109" t="s">
        <v>3116</v>
      </c>
      <c r="D109" t="s">
        <v>2780</v>
      </c>
      <c r="E109" t="s">
        <v>2823</v>
      </c>
      <c r="F109" t="str">
        <f>"27/504"</f>
        <v>27/504</v>
      </c>
      <c r="G109" t="s">
        <v>3117</v>
      </c>
      <c r="H109" t="s">
        <v>3112</v>
      </c>
      <c r="I109">
        <v>35.7</v>
      </c>
    </row>
    <row r="110" spans="1:9" ht="12.75">
      <c r="A110">
        <v>105</v>
      </c>
      <c r="B110" t="s">
        <v>2891</v>
      </c>
      <c r="C110" t="s">
        <v>3118</v>
      </c>
      <c r="D110" t="s">
        <v>2780</v>
      </c>
      <c r="E110" t="s">
        <v>2823</v>
      </c>
      <c r="F110" t="str">
        <f>"28/504"</f>
        <v>28/504</v>
      </c>
      <c r="G110" t="s">
        <v>3067</v>
      </c>
      <c r="H110" t="s">
        <v>3119</v>
      </c>
      <c r="I110">
        <v>35.7</v>
      </c>
    </row>
    <row r="111" spans="1:9" ht="12.75">
      <c r="A111">
        <v>106</v>
      </c>
      <c r="B111" t="s">
        <v>3120</v>
      </c>
      <c r="C111" t="s">
        <v>2861</v>
      </c>
      <c r="D111" t="s">
        <v>2780</v>
      </c>
      <c r="E111" t="s">
        <v>2823</v>
      </c>
      <c r="F111" t="str">
        <f>"29/504"</f>
        <v>29/504</v>
      </c>
      <c r="G111" t="s">
        <v>2920</v>
      </c>
      <c r="H111" t="s">
        <v>3121</v>
      </c>
      <c r="I111">
        <v>35.7</v>
      </c>
    </row>
    <row r="112" spans="1:9" ht="12.75">
      <c r="A112">
        <v>107</v>
      </c>
      <c r="B112" t="s">
        <v>3122</v>
      </c>
      <c r="C112" t="s">
        <v>3123</v>
      </c>
      <c r="D112" t="s">
        <v>2780</v>
      </c>
      <c r="E112" t="s">
        <v>2823</v>
      </c>
      <c r="F112" t="str">
        <f>"30/504"</f>
        <v>30/504</v>
      </c>
      <c r="G112" t="s">
        <v>3124</v>
      </c>
      <c r="H112" t="s">
        <v>3125</v>
      </c>
      <c r="I112">
        <v>35.7</v>
      </c>
    </row>
    <row r="113" spans="1:9" ht="12.75">
      <c r="A113">
        <v>108</v>
      </c>
      <c r="B113" t="s">
        <v>3126</v>
      </c>
      <c r="C113" t="s">
        <v>2817</v>
      </c>
      <c r="D113" t="s">
        <v>2780</v>
      </c>
      <c r="E113" t="s">
        <v>2973</v>
      </c>
      <c r="F113" t="str">
        <f>"4/167"</f>
        <v>4/167</v>
      </c>
      <c r="G113" t="s">
        <v>3127</v>
      </c>
      <c r="H113" t="s">
        <v>3128</v>
      </c>
      <c r="I113">
        <v>35.69</v>
      </c>
    </row>
    <row r="114" spans="1:9" ht="12.75">
      <c r="A114">
        <v>109</v>
      </c>
      <c r="B114" t="s">
        <v>3129</v>
      </c>
      <c r="C114" t="s">
        <v>2942</v>
      </c>
      <c r="D114" t="s">
        <v>2780</v>
      </c>
      <c r="E114" t="s">
        <v>2781</v>
      </c>
      <c r="F114" t="str">
        <f>"42/329"</f>
        <v>42/329</v>
      </c>
      <c r="G114" t="s">
        <v>3130</v>
      </c>
      <c r="H114" t="s">
        <v>3131</v>
      </c>
      <c r="I114">
        <v>35.69</v>
      </c>
    </row>
    <row r="115" spans="1:9" ht="12.75">
      <c r="A115">
        <v>110</v>
      </c>
      <c r="B115" t="s">
        <v>3132</v>
      </c>
      <c r="C115" t="s">
        <v>3133</v>
      </c>
      <c r="D115" t="s">
        <v>3031</v>
      </c>
      <c r="E115" t="s">
        <v>3032</v>
      </c>
      <c r="F115" t="str">
        <f>"2/54"</f>
        <v>2/54</v>
      </c>
      <c r="G115" t="s">
        <v>3134</v>
      </c>
      <c r="H115" t="s">
        <v>3135</v>
      </c>
      <c r="I115">
        <v>35.68</v>
      </c>
    </row>
    <row r="116" spans="1:9" ht="12.75">
      <c r="A116">
        <v>111</v>
      </c>
      <c r="B116" t="s">
        <v>3136</v>
      </c>
      <c r="C116" t="s">
        <v>2840</v>
      </c>
      <c r="D116" t="s">
        <v>2780</v>
      </c>
      <c r="E116" t="s">
        <v>2823</v>
      </c>
      <c r="F116" t="str">
        <f>"31/504"</f>
        <v>31/504</v>
      </c>
      <c r="G116" t="s">
        <v>3046</v>
      </c>
      <c r="H116" t="s">
        <v>3137</v>
      </c>
      <c r="I116">
        <v>35.68</v>
      </c>
    </row>
    <row r="117" spans="1:9" ht="12.75">
      <c r="A117">
        <v>112</v>
      </c>
      <c r="B117" t="s">
        <v>3138</v>
      </c>
      <c r="C117" t="s">
        <v>2779</v>
      </c>
      <c r="D117" t="s">
        <v>2780</v>
      </c>
      <c r="E117" t="s">
        <v>2781</v>
      </c>
      <c r="F117" t="str">
        <f>"43/329"</f>
        <v>43/329</v>
      </c>
      <c r="G117" t="s">
        <v>2787</v>
      </c>
      <c r="H117" t="s">
        <v>3139</v>
      </c>
      <c r="I117">
        <v>35.67</v>
      </c>
    </row>
    <row r="118" spans="1:9" ht="12.75">
      <c r="A118">
        <v>113</v>
      </c>
      <c r="B118" t="s">
        <v>3140</v>
      </c>
      <c r="C118" t="s">
        <v>3141</v>
      </c>
      <c r="D118" t="s">
        <v>2780</v>
      </c>
      <c r="E118" t="s">
        <v>2781</v>
      </c>
      <c r="F118" t="str">
        <f>"44/329"</f>
        <v>44/329</v>
      </c>
      <c r="G118" t="s">
        <v>3046</v>
      </c>
      <c r="H118" t="s">
        <v>3142</v>
      </c>
      <c r="I118">
        <v>35.66</v>
      </c>
    </row>
    <row r="119" spans="1:9" ht="12.75">
      <c r="A119">
        <v>114</v>
      </c>
      <c r="B119" t="s">
        <v>3143</v>
      </c>
      <c r="C119" t="s">
        <v>2814</v>
      </c>
      <c r="D119" t="s">
        <v>2780</v>
      </c>
      <c r="E119" t="s">
        <v>2781</v>
      </c>
      <c r="F119" t="str">
        <f>"45/329"</f>
        <v>45/329</v>
      </c>
      <c r="G119" t="s">
        <v>3144</v>
      </c>
      <c r="H119" t="s">
        <v>3145</v>
      </c>
      <c r="I119">
        <v>35.65</v>
      </c>
    </row>
    <row r="120" spans="1:9" ht="12.75">
      <c r="A120">
        <v>115</v>
      </c>
      <c r="B120" t="s">
        <v>3146</v>
      </c>
      <c r="C120" t="s">
        <v>3147</v>
      </c>
      <c r="D120" t="s">
        <v>2780</v>
      </c>
      <c r="E120" t="s">
        <v>2823</v>
      </c>
      <c r="F120" t="str">
        <f>"32/504"</f>
        <v>32/504</v>
      </c>
      <c r="G120" t="s">
        <v>3148</v>
      </c>
      <c r="H120" t="s">
        <v>3149</v>
      </c>
      <c r="I120">
        <v>35.65</v>
      </c>
    </row>
    <row r="121" spans="1:9" ht="12.75">
      <c r="A121">
        <v>116</v>
      </c>
      <c r="B121" t="s">
        <v>3150</v>
      </c>
      <c r="C121" t="s">
        <v>3151</v>
      </c>
      <c r="D121" t="s">
        <v>2780</v>
      </c>
      <c r="E121" t="s">
        <v>2818</v>
      </c>
      <c r="F121" t="str">
        <f>"4/307"</f>
        <v>4/307</v>
      </c>
      <c r="G121" t="s">
        <v>3152</v>
      </c>
      <c r="H121" t="s">
        <v>3153</v>
      </c>
      <c r="I121">
        <v>35.63</v>
      </c>
    </row>
    <row r="122" spans="1:9" ht="12.75">
      <c r="A122">
        <v>117</v>
      </c>
      <c r="B122" t="s">
        <v>3154</v>
      </c>
      <c r="C122" t="s">
        <v>2807</v>
      </c>
      <c r="D122" t="s">
        <v>2780</v>
      </c>
      <c r="E122" t="s">
        <v>2786</v>
      </c>
      <c r="F122" t="str">
        <f>"16/58"</f>
        <v>16/58</v>
      </c>
      <c r="G122" t="s">
        <v>3011</v>
      </c>
      <c r="H122" t="s">
        <v>3155</v>
      </c>
      <c r="I122">
        <v>35.62</v>
      </c>
    </row>
    <row r="123" spans="1:9" ht="12.75">
      <c r="A123">
        <v>118</v>
      </c>
      <c r="B123" t="s">
        <v>3156</v>
      </c>
      <c r="C123" t="s">
        <v>2807</v>
      </c>
      <c r="D123" t="s">
        <v>2780</v>
      </c>
      <c r="E123" t="s">
        <v>2786</v>
      </c>
      <c r="F123" t="str">
        <f>"17/58"</f>
        <v>17/58</v>
      </c>
      <c r="G123" t="s">
        <v>2889</v>
      </c>
      <c r="H123" t="s">
        <v>3157</v>
      </c>
      <c r="I123">
        <v>35.62</v>
      </c>
    </row>
    <row r="124" spans="1:9" ht="12.75">
      <c r="A124">
        <v>119</v>
      </c>
      <c r="B124" t="s">
        <v>3062</v>
      </c>
      <c r="C124" t="s">
        <v>2861</v>
      </c>
      <c r="D124" t="s">
        <v>2780</v>
      </c>
      <c r="E124" t="s">
        <v>2781</v>
      </c>
      <c r="F124" t="str">
        <f>"46/329"</f>
        <v>46/329</v>
      </c>
      <c r="G124" t="s">
        <v>3158</v>
      </c>
      <c r="H124" t="s">
        <v>3159</v>
      </c>
      <c r="I124">
        <v>35.61</v>
      </c>
    </row>
    <row r="125" spans="1:9" ht="12.75">
      <c r="A125">
        <v>120</v>
      </c>
      <c r="B125" t="s">
        <v>3160</v>
      </c>
      <c r="C125" t="s">
        <v>3161</v>
      </c>
      <c r="D125" t="s">
        <v>2780</v>
      </c>
      <c r="E125" t="s">
        <v>2786</v>
      </c>
      <c r="F125" t="str">
        <f>"18/58"</f>
        <v>18/58</v>
      </c>
      <c r="G125" t="s">
        <v>2896</v>
      </c>
      <c r="H125" t="s">
        <v>3162</v>
      </c>
      <c r="I125">
        <v>35.6</v>
      </c>
    </row>
    <row r="126" spans="1:9" ht="12.75">
      <c r="A126">
        <v>121</v>
      </c>
      <c r="B126" t="s">
        <v>3163</v>
      </c>
      <c r="C126" t="s">
        <v>3164</v>
      </c>
      <c r="D126" t="s">
        <v>2780</v>
      </c>
      <c r="E126" t="s">
        <v>2781</v>
      </c>
      <c r="F126" t="str">
        <f>"47/329"</f>
        <v>47/329</v>
      </c>
      <c r="G126" t="s">
        <v>3165</v>
      </c>
      <c r="H126" t="s">
        <v>3166</v>
      </c>
      <c r="I126">
        <v>35.6</v>
      </c>
    </row>
    <row r="127" spans="1:9" ht="12.75">
      <c r="A127">
        <v>122</v>
      </c>
      <c r="B127" t="s">
        <v>3167</v>
      </c>
      <c r="C127" t="s">
        <v>2951</v>
      </c>
      <c r="D127" t="s">
        <v>2780</v>
      </c>
      <c r="E127" t="s">
        <v>2781</v>
      </c>
      <c r="F127" t="str">
        <f>"48/329"</f>
        <v>48/329</v>
      </c>
      <c r="G127" t="s">
        <v>3168</v>
      </c>
      <c r="H127" t="s">
        <v>3169</v>
      </c>
      <c r="I127">
        <v>35.59</v>
      </c>
    </row>
    <row r="128" spans="1:9" ht="12.75">
      <c r="A128">
        <v>123</v>
      </c>
      <c r="B128" t="s">
        <v>3170</v>
      </c>
      <c r="C128" t="s">
        <v>3171</v>
      </c>
      <c r="D128" t="s">
        <v>2780</v>
      </c>
      <c r="E128" t="s">
        <v>2781</v>
      </c>
      <c r="F128" t="str">
        <f>"49/329"</f>
        <v>49/329</v>
      </c>
      <c r="G128" t="s">
        <v>3018</v>
      </c>
      <c r="H128" t="s">
        <v>3172</v>
      </c>
      <c r="I128">
        <v>35.58</v>
      </c>
    </row>
    <row r="129" spans="1:9" ht="12.75">
      <c r="A129">
        <v>124</v>
      </c>
      <c r="B129" t="s">
        <v>3173</v>
      </c>
      <c r="C129" t="s">
        <v>3174</v>
      </c>
      <c r="D129" t="s">
        <v>2780</v>
      </c>
      <c r="E129" t="s">
        <v>2823</v>
      </c>
      <c r="F129" t="str">
        <f>"33/504"</f>
        <v>33/504</v>
      </c>
      <c r="G129" t="s">
        <v>3168</v>
      </c>
      <c r="H129" t="s">
        <v>3172</v>
      </c>
      <c r="I129">
        <v>35.58</v>
      </c>
    </row>
    <row r="130" spans="1:9" ht="12.75">
      <c r="A130">
        <v>125</v>
      </c>
      <c r="B130" t="s">
        <v>3175</v>
      </c>
      <c r="C130" t="s">
        <v>2836</v>
      </c>
      <c r="D130" t="s">
        <v>2780</v>
      </c>
      <c r="E130" t="s">
        <v>2781</v>
      </c>
      <c r="F130" t="str">
        <f>"50/329"</f>
        <v>50/329</v>
      </c>
      <c r="G130" t="s">
        <v>3176</v>
      </c>
      <c r="H130" t="s">
        <v>3177</v>
      </c>
      <c r="I130">
        <v>35.58</v>
      </c>
    </row>
    <row r="131" spans="1:9" ht="12.75">
      <c r="A131">
        <v>126</v>
      </c>
      <c r="B131" t="s">
        <v>3178</v>
      </c>
      <c r="C131" t="s">
        <v>2861</v>
      </c>
      <c r="D131" t="s">
        <v>2780</v>
      </c>
      <c r="E131" t="s">
        <v>2823</v>
      </c>
      <c r="F131" t="str">
        <f>"34/504"</f>
        <v>34/504</v>
      </c>
      <c r="G131" t="s">
        <v>2969</v>
      </c>
      <c r="H131" t="s">
        <v>3179</v>
      </c>
      <c r="I131">
        <v>35.58</v>
      </c>
    </row>
    <row r="132" spans="1:9" ht="12.75">
      <c r="A132">
        <v>127</v>
      </c>
      <c r="B132" t="s">
        <v>3180</v>
      </c>
      <c r="C132" t="s">
        <v>2865</v>
      </c>
      <c r="D132" t="s">
        <v>2780</v>
      </c>
      <c r="E132" t="s">
        <v>2823</v>
      </c>
      <c r="F132" t="str">
        <f>"35/504"</f>
        <v>35/504</v>
      </c>
      <c r="G132" t="s">
        <v>3181</v>
      </c>
      <c r="H132" t="s">
        <v>3182</v>
      </c>
      <c r="I132">
        <v>35.57</v>
      </c>
    </row>
    <row r="133" spans="1:9" ht="12.75">
      <c r="A133">
        <v>128</v>
      </c>
      <c r="B133" t="s">
        <v>3183</v>
      </c>
      <c r="C133" t="s">
        <v>3017</v>
      </c>
      <c r="D133" t="s">
        <v>2780</v>
      </c>
      <c r="E133" t="s">
        <v>2799</v>
      </c>
      <c r="F133" t="str">
        <f>"12/99"</f>
        <v>12/99</v>
      </c>
      <c r="G133" t="s">
        <v>3011</v>
      </c>
      <c r="H133" t="s">
        <v>3184</v>
      </c>
      <c r="I133">
        <v>35.57</v>
      </c>
    </row>
    <row r="134" spans="1:9" ht="12.75">
      <c r="A134">
        <v>129</v>
      </c>
      <c r="B134" t="s">
        <v>3138</v>
      </c>
      <c r="C134" t="s">
        <v>2840</v>
      </c>
      <c r="D134" t="s">
        <v>2780</v>
      </c>
      <c r="E134" t="s">
        <v>2823</v>
      </c>
      <c r="F134" t="str">
        <f>"36/504"</f>
        <v>36/504</v>
      </c>
      <c r="G134" t="s">
        <v>2787</v>
      </c>
      <c r="H134" t="s">
        <v>3185</v>
      </c>
      <c r="I134">
        <v>35.57</v>
      </c>
    </row>
    <row r="135" spans="1:9" ht="12.75">
      <c r="A135">
        <v>130</v>
      </c>
      <c r="B135" t="s">
        <v>3186</v>
      </c>
      <c r="C135" t="s">
        <v>2826</v>
      </c>
      <c r="D135" t="s">
        <v>2780</v>
      </c>
      <c r="E135" t="s">
        <v>2823</v>
      </c>
      <c r="F135" t="str">
        <f>"37/504"</f>
        <v>37/504</v>
      </c>
      <c r="G135" t="s">
        <v>3187</v>
      </c>
      <c r="H135" t="s">
        <v>3188</v>
      </c>
      <c r="I135">
        <v>35.56</v>
      </c>
    </row>
    <row r="136" spans="1:9" ht="12.75">
      <c r="A136">
        <v>131</v>
      </c>
      <c r="B136" t="s">
        <v>3189</v>
      </c>
      <c r="C136" t="s">
        <v>2931</v>
      </c>
      <c r="D136" t="s">
        <v>2780</v>
      </c>
      <c r="E136" t="s">
        <v>2823</v>
      </c>
      <c r="F136" t="str">
        <f>"38/504"</f>
        <v>38/504</v>
      </c>
      <c r="G136" t="s">
        <v>2932</v>
      </c>
      <c r="H136" t="s">
        <v>3190</v>
      </c>
      <c r="I136">
        <v>35.54</v>
      </c>
    </row>
    <row r="137" spans="1:9" ht="12.75">
      <c r="A137">
        <v>132</v>
      </c>
      <c r="B137" t="s">
        <v>3191</v>
      </c>
      <c r="C137" t="s">
        <v>3192</v>
      </c>
      <c r="D137" t="s">
        <v>2780</v>
      </c>
      <c r="E137" t="s">
        <v>2823</v>
      </c>
      <c r="F137" t="str">
        <f>"39/504"</f>
        <v>39/504</v>
      </c>
      <c r="G137" t="s">
        <v>2787</v>
      </c>
      <c r="H137" t="s">
        <v>3190</v>
      </c>
      <c r="I137">
        <v>35.54</v>
      </c>
    </row>
    <row r="138" spans="1:9" ht="12.75">
      <c r="A138">
        <v>133</v>
      </c>
      <c r="B138" t="s">
        <v>3193</v>
      </c>
      <c r="C138" t="s">
        <v>2840</v>
      </c>
      <c r="D138" t="s">
        <v>2780</v>
      </c>
      <c r="E138" t="s">
        <v>2781</v>
      </c>
      <c r="F138" t="str">
        <f>"51/329"</f>
        <v>51/329</v>
      </c>
      <c r="G138" t="s">
        <v>2883</v>
      </c>
      <c r="H138" t="s">
        <v>3194</v>
      </c>
      <c r="I138">
        <v>35.53</v>
      </c>
    </row>
    <row r="139" spans="1:9" ht="12.75">
      <c r="A139">
        <v>134</v>
      </c>
      <c r="B139" t="s">
        <v>3195</v>
      </c>
      <c r="C139" t="s">
        <v>2895</v>
      </c>
      <c r="D139" t="s">
        <v>2780</v>
      </c>
      <c r="E139" t="s">
        <v>2781</v>
      </c>
      <c r="F139" t="str">
        <f>"52/329"</f>
        <v>52/329</v>
      </c>
      <c r="G139" t="s">
        <v>2982</v>
      </c>
      <c r="H139" t="s">
        <v>3196</v>
      </c>
      <c r="I139">
        <v>35.53</v>
      </c>
    </row>
    <row r="140" spans="1:9" ht="12.75">
      <c r="A140">
        <v>135</v>
      </c>
      <c r="B140" t="s">
        <v>3197</v>
      </c>
      <c r="C140" t="s">
        <v>2865</v>
      </c>
      <c r="D140" t="s">
        <v>2780</v>
      </c>
      <c r="E140" t="s">
        <v>2823</v>
      </c>
      <c r="F140" t="str">
        <f>"40/504"</f>
        <v>40/504</v>
      </c>
      <c r="G140" t="s">
        <v>3198</v>
      </c>
      <c r="H140" t="s">
        <v>3199</v>
      </c>
      <c r="I140">
        <v>35.53</v>
      </c>
    </row>
    <row r="141" spans="1:9" ht="12.75">
      <c r="A141">
        <v>136</v>
      </c>
      <c r="B141" t="s">
        <v>3200</v>
      </c>
      <c r="C141" t="s">
        <v>3201</v>
      </c>
      <c r="D141" t="s">
        <v>2780</v>
      </c>
      <c r="E141" t="s">
        <v>2781</v>
      </c>
      <c r="F141" t="str">
        <f>"53/329"</f>
        <v>53/329</v>
      </c>
      <c r="G141" t="s">
        <v>3202</v>
      </c>
      <c r="H141" t="s">
        <v>3203</v>
      </c>
      <c r="I141">
        <v>35.52</v>
      </c>
    </row>
    <row r="142" spans="1:9" ht="12.75">
      <c r="A142">
        <v>137</v>
      </c>
      <c r="B142" t="s">
        <v>3204</v>
      </c>
      <c r="C142" t="s">
        <v>3205</v>
      </c>
      <c r="D142" t="s">
        <v>2780</v>
      </c>
      <c r="E142" t="s">
        <v>2823</v>
      </c>
      <c r="F142" t="str">
        <f>"41/504"</f>
        <v>41/504</v>
      </c>
      <c r="G142" t="s">
        <v>3206</v>
      </c>
      <c r="H142" t="s">
        <v>3207</v>
      </c>
      <c r="I142">
        <v>35.51</v>
      </c>
    </row>
    <row r="143" spans="1:9" ht="12.75">
      <c r="A143">
        <v>138</v>
      </c>
      <c r="B143" t="s">
        <v>3208</v>
      </c>
      <c r="C143" t="s">
        <v>2966</v>
      </c>
      <c r="D143" t="s">
        <v>2780</v>
      </c>
      <c r="E143" t="s">
        <v>3209</v>
      </c>
      <c r="F143" t="str">
        <f>"1/62"</f>
        <v>1/62</v>
      </c>
      <c r="G143" t="s">
        <v>3210</v>
      </c>
      <c r="H143" t="s">
        <v>3211</v>
      </c>
      <c r="I143">
        <v>35.51</v>
      </c>
    </row>
    <row r="144" spans="1:9" ht="12.75">
      <c r="A144">
        <v>139</v>
      </c>
      <c r="B144" t="s">
        <v>3212</v>
      </c>
      <c r="C144" t="s">
        <v>3213</v>
      </c>
      <c r="D144" t="s">
        <v>2780</v>
      </c>
      <c r="E144" t="s">
        <v>2781</v>
      </c>
      <c r="F144" t="str">
        <f>"54/329"</f>
        <v>54/329</v>
      </c>
      <c r="G144" t="s">
        <v>3214</v>
      </c>
      <c r="H144" t="s">
        <v>3215</v>
      </c>
      <c r="I144">
        <v>35.5</v>
      </c>
    </row>
    <row r="145" spans="1:9" ht="12.75">
      <c r="A145">
        <v>140</v>
      </c>
      <c r="B145" t="s">
        <v>3216</v>
      </c>
      <c r="C145" t="s">
        <v>2886</v>
      </c>
      <c r="D145" t="s">
        <v>2780</v>
      </c>
      <c r="E145" t="s">
        <v>2781</v>
      </c>
      <c r="F145" t="str">
        <f>"55/329"</f>
        <v>55/329</v>
      </c>
      <c r="G145" t="s">
        <v>3217</v>
      </c>
      <c r="H145" t="s">
        <v>3218</v>
      </c>
      <c r="I145">
        <v>35.42</v>
      </c>
    </row>
    <row r="146" spans="1:9" ht="12.75">
      <c r="A146">
        <v>141</v>
      </c>
      <c r="B146" t="s">
        <v>2864</v>
      </c>
      <c r="C146" t="s">
        <v>3219</v>
      </c>
      <c r="D146" t="s">
        <v>2780</v>
      </c>
      <c r="E146" t="s">
        <v>2823</v>
      </c>
      <c r="F146" t="str">
        <f>"42/504"</f>
        <v>42/504</v>
      </c>
      <c r="G146" t="s">
        <v>3220</v>
      </c>
      <c r="H146" t="s">
        <v>3221</v>
      </c>
      <c r="I146">
        <v>35.39</v>
      </c>
    </row>
    <row r="147" spans="1:9" ht="12.75">
      <c r="A147">
        <v>142</v>
      </c>
      <c r="B147" t="s">
        <v>3222</v>
      </c>
      <c r="C147" t="s">
        <v>2861</v>
      </c>
      <c r="D147" t="s">
        <v>2780</v>
      </c>
      <c r="E147" t="s">
        <v>2823</v>
      </c>
      <c r="F147" t="str">
        <f>"43/504"</f>
        <v>43/504</v>
      </c>
      <c r="G147" t="s">
        <v>3223</v>
      </c>
      <c r="H147" t="s">
        <v>3224</v>
      </c>
      <c r="I147">
        <v>35.35</v>
      </c>
    </row>
    <row r="148" spans="1:9" ht="12.75">
      <c r="A148">
        <v>143</v>
      </c>
      <c r="B148" t="s">
        <v>3225</v>
      </c>
      <c r="C148" t="s">
        <v>2865</v>
      </c>
      <c r="D148" t="s">
        <v>2780</v>
      </c>
      <c r="E148" t="s">
        <v>2818</v>
      </c>
      <c r="F148" t="str">
        <f>"5/307"</f>
        <v>5/307</v>
      </c>
      <c r="G148" t="s">
        <v>3018</v>
      </c>
      <c r="H148" t="s">
        <v>3226</v>
      </c>
      <c r="I148">
        <v>35.3</v>
      </c>
    </row>
    <row r="149" spans="1:9" ht="12.75">
      <c r="A149">
        <v>144</v>
      </c>
      <c r="B149" t="s">
        <v>3227</v>
      </c>
      <c r="C149" t="s">
        <v>2963</v>
      </c>
      <c r="D149" t="s">
        <v>2780</v>
      </c>
      <c r="E149" t="s">
        <v>2799</v>
      </c>
      <c r="F149" t="str">
        <f>"13/99"</f>
        <v>13/99</v>
      </c>
      <c r="G149" t="s">
        <v>3018</v>
      </c>
      <c r="H149" t="s">
        <v>3228</v>
      </c>
      <c r="I149">
        <v>35.29</v>
      </c>
    </row>
    <row r="150" spans="1:9" ht="12.75">
      <c r="A150">
        <v>145</v>
      </c>
      <c r="B150" t="s">
        <v>3229</v>
      </c>
      <c r="C150" t="s">
        <v>2857</v>
      </c>
      <c r="D150" t="s">
        <v>2780</v>
      </c>
      <c r="E150" t="s">
        <v>2781</v>
      </c>
      <c r="F150" t="str">
        <f>"56/329"</f>
        <v>56/329</v>
      </c>
      <c r="G150" t="s">
        <v>3230</v>
      </c>
      <c r="H150" t="s">
        <v>3231</v>
      </c>
      <c r="I150">
        <v>35.28</v>
      </c>
    </row>
    <row r="151" spans="1:9" ht="12.75">
      <c r="A151">
        <v>146</v>
      </c>
      <c r="B151" t="s">
        <v>3232</v>
      </c>
      <c r="C151" t="s">
        <v>3233</v>
      </c>
      <c r="D151" t="s">
        <v>2780</v>
      </c>
      <c r="E151" t="s">
        <v>2973</v>
      </c>
      <c r="F151" t="str">
        <f>"5/167"</f>
        <v>5/167</v>
      </c>
      <c r="G151" t="s">
        <v>3058</v>
      </c>
      <c r="H151" t="s">
        <v>3234</v>
      </c>
      <c r="I151">
        <v>35.24</v>
      </c>
    </row>
    <row r="152" spans="1:9" ht="12.75">
      <c r="A152">
        <v>147</v>
      </c>
      <c r="B152" t="s">
        <v>3235</v>
      </c>
      <c r="C152" t="s">
        <v>2991</v>
      </c>
      <c r="D152" t="s">
        <v>2780</v>
      </c>
      <c r="E152" t="s">
        <v>2799</v>
      </c>
      <c r="F152" t="str">
        <f>"14/99"</f>
        <v>14/99</v>
      </c>
      <c r="G152" t="s">
        <v>3236</v>
      </c>
      <c r="H152" t="s">
        <v>3237</v>
      </c>
      <c r="I152">
        <v>35.22</v>
      </c>
    </row>
    <row r="153" spans="1:9" ht="12.75">
      <c r="A153">
        <v>148</v>
      </c>
      <c r="B153" t="s">
        <v>3238</v>
      </c>
      <c r="C153" t="s">
        <v>3239</v>
      </c>
      <c r="D153" t="s">
        <v>3031</v>
      </c>
      <c r="E153" t="s">
        <v>3032</v>
      </c>
      <c r="F153" t="str">
        <f>"3/54"</f>
        <v>3/54</v>
      </c>
      <c r="G153" t="s">
        <v>3240</v>
      </c>
      <c r="H153" t="s">
        <v>3241</v>
      </c>
      <c r="I153">
        <v>35.19</v>
      </c>
    </row>
    <row r="154" spans="1:9" ht="12.75">
      <c r="A154">
        <v>149</v>
      </c>
      <c r="B154" t="s">
        <v>3242</v>
      </c>
      <c r="C154" t="s">
        <v>3243</v>
      </c>
      <c r="D154" t="s">
        <v>3031</v>
      </c>
      <c r="E154" t="s">
        <v>3244</v>
      </c>
      <c r="F154" t="str">
        <f>"1/63"</f>
        <v>1/63</v>
      </c>
      <c r="G154" t="s">
        <v>2889</v>
      </c>
      <c r="H154" t="s">
        <v>3245</v>
      </c>
      <c r="I154">
        <v>35.19</v>
      </c>
    </row>
    <row r="155" spans="1:9" ht="12.75">
      <c r="A155">
        <v>150</v>
      </c>
      <c r="B155" t="s">
        <v>3246</v>
      </c>
      <c r="C155" t="s">
        <v>3247</v>
      </c>
      <c r="D155" t="s">
        <v>2780</v>
      </c>
      <c r="E155" t="s">
        <v>2818</v>
      </c>
      <c r="F155" t="str">
        <f>"6/307"</f>
        <v>6/307</v>
      </c>
      <c r="G155" t="s">
        <v>3248</v>
      </c>
      <c r="H155" t="s">
        <v>3249</v>
      </c>
      <c r="I155">
        <v>35.19</v>
      </c>
    </row>
    <row r="156" spans="1:9" ht="12.75">
      <c r="A156">
        <v>151</v>
      </c>
      <c r="B156" t="s">
        <v>3062</v>
      </c>
      <c r="C156" t="s">
        <v>2807</v>
      </c>
      <c r="D156" t="s">
        <v>2780</v>
      </c>
      <c r="E156" t="s">
        <v>2781</v>
      </c>
      <c r="F156" t="str">
        <f>"57/329"</f>
        <v>57/329</v>
      </c>
      <c r="G156" t="s">
        <v>2787</v>
      </c>
      <c r="H156" t="s">
        <v>3250</v>
      </c>
      <c r="I156">
        <v>35.19</v>
      </c>
    </row>
    <row r="157" spans="1:9" ht="12.75">
      <c r="A157">
        <v>152</v>
      </c>
      <c r="B157" t="s">
        <v>3251</v>
      </c>
      <c r="C157" t="s">
        <v>3201</v>
      </c>
      <c r="D157" t="s">
        <v>2780</v>
      </c>
      <c r="E157" t="s">
        <v>2781</v>
      </c>
      <c r="F157" t="str">
        <f>"58/329"</f>
        <v>58/329</v>
      </c>
      <c r="G157" t="s">
        <v>3252</v>
      </c>
      <c r="H157" t="s">
        <v>3253</v>
      </c>
      <c r="I157">
        <v>35.19</v>
      </c>
    </row>
    <row r="158" spans="1:9" ht="12.75">
      <c r="A158">
        <v>153</v>
      </c>
      <c r="B158" t="s">
        <v>2875</v>
      </c>
      <c r="C158" t="s">
        <v>3219</v>
      </c>
      <c r="D158" t="s">
        <v>2780</v>
      </c>
      <c r="E158" t="s">
        <v>2818</v>
      </c>
      <c r="F158" t="str">
        <f>"7/307"</f>
        <v>7/307</v>
      </c>
      <c r="G158" t="s">
        <v>2804</v>
      </c>
      <c r="H158" t="s">
        <v>3254</v>
      </c>
      <c r="I158">
        <v>35.19</v>
      </c>
    </row>
    <row r="159" spans="1:9" ht="12.75">
      <c r="A159">
        <v>154</v>
      </c>
      <c r="B159" t="s">
        <v>3255</v>
      </c>
      <c r="C159" t="s">
        <v>2951</v>
      </c>
      <c r="D159" t="s">
        <v>2780</v>
      </c>
      <c r="E159" t="s">
        <v>2781</v>
      </c>
      <c r="F159" t="str">
        <f>"59/329"</f>
        <v>59/329</v>
      </c>
      <c r="G159" t="s">
        <v>2883</v>
      </c>
      <c r="H159" t="s">
        <v>3256</v>
      </c>
      <c r="I159">
        <v>35.18</v>
      </c>
    </row>
    <row r="160" spans="1:9" ht="12.75">
      <c r="A160">
        <v>155</v>
      </c>
      <c r="B160" t="s">
        <v>3257</v>
      </c>
      <c r="C160" t="s">
        <v>3066</v>
      </c>
      <c r="D160" t="s">
        <v>2780</v>
      </c>
      <c r="E160" t="s">
        <v>2799</v>
      </c>
      <c r="F160" t="str">
        <f>"15/99"</f>
        <v>15/99</v>
      </c>
      <c r="G160" t="s">
        <v>2889</v>
      </c>
      <c r="H160" t="s">
        <v>3258</v>
      </c>
      <c r="I160">
        <v>35.18</v>
      </c>
    </row>
    <row r="161" spans="1:9" ht="12.75">
      <c r="A161">
        <v>156</v>
      </c>
      <c r="B161" t="s">
        <v>3259</v>
      </c>
      <c r="C161" t="s">
        <v>3260</v>
      </c>
      <c r="D161" t="s">
        <v>2780</v>
      </c>
      <c r="E161" t="s">
        <v>2818</v>
      </c>
      <c r="F161" t="str">
        <f>"8/307"</f>
        <v>8/307</v>
      </c>
      <c r="G161" t="s">
        <v>3261</v>
      </c>
      <c r="H161" t="s">
        <v>3262</v>
      </c>
      <c r="I161">
        <v>35.18</v>
      </c>
    </row>
    <row r="162" spans="1:9" ht="12.75">
      <c r="A162">
        <v>157</v>
      </c>
      <c r="B162" t="s">
        <v>3263</v>
      </c>
      <c r="C162" t="s">
        <v>2991</v>
      </c>
      <c r="D162" t="s">
        <v>2780</v>
      </c>
      <c r="E162" t="s">
        <v>2781</v>
      </c>
      <c r="F162" t="str">
        <f>"60/329"</f>
        <v>60/329</v>
      </c>
      <c r="G162" t="s">
        <v>2844</v>
      </c>
      <c r="H162" t="s">
        <v>3262</v>
      </c>
      <c r="I162">
        <v>35.18</v>
      </c>
    </row>
    <row r="163" spans="1:9" ht="12.75">
      <c r="A163">
        <v>158</v>
      </c>
      <c r="B163" t="s">
        <v>3264</v>
      </c>
      <c r="C163" t="s">
        <v>3265</v>
      </c>
      <c r="D163" t="s">
        <v>2780</v>
      </c>
      <c r="E163" t="s">
        <v>2781</v>
      </c>
      <c r="F163" t="str">
        <f>"61/329"</f>
        <v>61/329</v>
      </c>
      <c r="G163" t="s">
        <v>3266</v>
      </c>
      <c r="H163" t="s">
        <v>3267</v>
      </c>
      <c r="I163">
        <v>35.18</v>
      </c>
    </row>
    <row r="164" spans="1:9" ht="12.75">
      <c r="A164">
        <v>159</v>
      </c>
      <c r="B164" t="s">
        <v>2928</v>
      </c>
      <c r="C164" t="s">
        <v>3268</v>
      </c>
      <c r="D164" t="s">
        <v>3031</v>
      </c>
      <c r="E164" t="s">
        <v>3032</v>
      </c>
      <c r="F164" t="str">
        <f>"4/54"</f>
        <v>4/54</v>
      </c>
      <c r="G164" t="s">
        <v>3018</v>
      </c>
      <c r="H164" t="s">
        <v>3269</v>
      </c>
      <c r="I164">
        <v>35.17</v>
      </c>
    </row>
    <row r="165" spans="1:9" ht="12.75">
      <c r="A165">
        <v>160</v>
      </c>
      <c r="B165" t="s">
        <v>3270</v>
      </c>
      <c r="D165" t="s">
        <v>2780</v>
      </c>
      <c r="E165" t="s">
        <v>2923</v>
      </c>
      <c r="F165" t="str">
        <f>"3/7"</f>
        <v>3/7</v>
      </c>
      <c r="H165" t="s">
        <v>3271</v>
      </c>
      <c r="I165">
        <v>35.17</v>
      </c>
    </row>
    <row r="166" spans="1:9" ht="12.75">
      <c r="A166">
        <v>161</v>
      </c>
      <c r="B166" t="s">
        <v>3272</v>
      </c>
      <c r="C166" t="s">
        <v>2857</v>
      </c>
      <c r="D166" t="s">
        <v>2780</v>
      </c>
      <c r="E166" t="s">
        <v>2823</v>
      </c>
      <c r="F166" t="str">
        <f>"44/504"</f>
        <v>44/504</v>
      </c>
      <c r="G166" t="s">
        <v>3273</v>
      </c>
      <c r="H166" t="s">
        <v>3274</v>
      </c>
      <c r="I166">
        <v>35.17</v>
      </c>
    </row>
    <row r="167" spans="1:9" ht="12.75">
      <c r="A167">
        <v>162</v>
      </c>
      <c r="B167" t="s">
        <v>3275</v>
      </c>
      <c r="C167" t="s">
        <v>3276</v>
      </c>
      <c r="D167" t="s">
        <v>2780</v>
      </c>
      <c r="E167" t="s">
        <v>2799</v>
      </c>
      <c r="F167" t="str">
        <f>"16/99"</f>
        <v>16/99</v>
      </c>
      <c r="G167" t="s">
        <v>3277</v>
      </c>
      <c r="H167" t="s">
        <v>3278</v>
      </c>
      <c r="I167">
        <v>35.17</v>
      </c>
    </row>
    <row r="168" spans="1:9" ht="12.75">
      <c r="A168">
        <v>163</v>
      </c>
      <c r="B168" t="s">
        <v>3279</v>
      </c>
      <c r="C168" t="s">
        <v>2865</v>
      </c>
      <c r="D168" t="s">
        <v>2780</v>
      </c>
      <c r="E168" t="s">
        <v>2781</v>
      </c>
      <c r="F168" t="str">
        <f>"62/329"</f>
        <v>62/329</v>
      </c>
      <c r="G168" t="s">
        <v>2787</v>
      </c>
      <c r="H168" t="s">
        <v>3280</v>
      </c>
      <c r="I168">
        <v>35.17</v>
      </c>
    </row>
    <row r="169" spans="1:9" ht="12.75">
      <c r="A169">
        <v>164</v>
      </c>
      <c r="B169" t="s">
        <v>2953</v>
      </c>
      <c r="C169" t="s">
        <v>2942</v>
      </c>
      <c r="D169" t="s">
        <v>2780</v>
      </c>
      <c r="E169" t="s">
        <v>2973</v>
      </c>
      <c r="F169" t="str">
        <f>"6/167"</f>
        <v>6/167</v>
      </c>
      <c r="G169" t="s">
        <v>3281</v>
      </c>
      <c r="H169" t="s">
        <v>3282</v>
      </c>
      <c r="I169">
        <v>35.17</v>
      </c>
    </row>
    <row r="170" spans="1:9" ht="12.75">
      <c r="A170">
        <v>165</v>
      </c>
      <c r="B170" t="s">
        <v>2789</v>
      </c>
      <c r="C170" t="s">
        <v>3283</v>
      </c>
      <c r="D170" t="s">
        <v>2780</v>
      </c>
      <c r="E170" t="s">
        <v>2823</v>
      </c>
      <c r="F170" t="str">
        <f>"45/504"</f>
        <v>45/504</v>
      </c>
      <c r="G170" t="s">
        <v>3022</v>
      </c>
      <c r="H170" t="s">
        <v>3284</v>
      </c>
      <c r="I170">
        <v>35.16</v>
      </c>
    </row>
    <row r="171" spans="1:9" ht="12.75">
      <c r="A171">
        <v>166</v>
      </c>
      <c r="B171" t="s">
        <v>3285</v>
      </c>
      <c r="C171" t="s">
        <v>3286</v>
      </c>
      <c r="D171" t="s">
        <v>2780</v>
      </c>
      <c r="E171" t="s">
        <v>2818</v>
      </c>
      <c r="F171" t="str">
        <f>"9/307"</f>
        <v>9/307</v>
      </c>
      <c r="G171" t="s">
        <v>3176</v>
      </c>
      <c r="H171" t="s">
        <v>3287</v>
      </c>
      <c r="I171">
        <v>35.15</v>
      </c>
    </row>
    <row r="172" spans="1:9" ht="12.75">
      <c r="A172">
        <v>167</v>
      </c>
      <c r="B172" t="s">
        <v>3288</v>
      </c>
      <c r="C172" t="s">
        <v>2956</v>
      </c>
      <c r="D172" t="s">
        <v>2780</v>
      </c>
      <c r="E172" t="s">
        <v>2799</v>
      </c>
      <c r="F172" t="str">
        <f>"17/99"</f>
        <v>17/99</v>
      </c>
      <c r="G172" t="s">
        <v>3289</v>
      </c>
      <c r="H172" t="s">
        <v>3290</v>
      </c>
      <c r="I172">
        <v>35.15</v>
      </c>
    </row>
    <row r="173" spans="1:9" ht="12.75">
      <c r="A173">
        <v>168</v>
      </c>
      <c r="B173" t="s">
        <v>3291</v>
      </c>
      <c r="C173" t="s">
        <v>3292</v>
      </c>
      <c r="D173" t="s">
        <v>2780</v>
      </c>
      <c r="E173" t="s">
        <v>2781</v>
      </c>
      <c r="F173" t="str">
        <f>"63/329"</f>
        <v>63/329</v>
      </c>
      <c r="G173" t="s">
        <v>2969</v>
      </c>
      <c r="H173" t="s">
        <v>3293</v>
      </c>
      <c r="I173">
        <v>35.15</v>
      </c>
    </row>
    <row r="174" spans="1:9" ht="12.75">
      <c r="A174">
        <v>169</v>
      </c>
      <c r="B174" t="s">
        <v>3294</v>
      </c>
      <c r="C174" t="s">
        <v>2807</v>
      </c>
      <c r="D174" t="s">
        <v>2780</v>
      </c>
      <c r="E174" t="s">
        <v>2781</v>
      </c>
      <c r="F174" t="str">
        <f>"64/329"</f>
        <v>64/329</v>
      </c>
      <c r="G174" t="s">
        <v>3111</v>
      </c>
      <c r="H174" t="s">
        <v>3295</v>
      </c>
      <c r="I174">
        <v>35.15</v>
      </c>
    </row>
    <row r="175" spans="1:9" ht="12.75">
      <c r="A175">
        <v>170</v>
      </c>
      <c r="B175" t="s">
        <v>3296</v>
      </c>
      <c r="C175" t="s">
        <v>2966</v>
      </c>
      <c r="D175" t="s">
        <v>2780</v>
      </c>
      <c r="E175" t="s">
        <v>2823</v>
      </c>
      <c r="F175" t="str">
        <f>"46/504"</f>
        <v>46/504</v>
      </c>
      <c r="G175" t="s">
        <v>3297</v>
      </c>
      <c r="H175" t="s">
        <v>3298</v>
      </c>
      <c r="I175">
        <v>35.14</v>
      </c>
    </row>
    <row r="176" spans="1:9" ht="12.75">
      <c r="A176">
        <v>171</v>
      </c>
      <c r="B176" t="s">
        <v>3299</v>
      </c>
      <c r="C176" t="s">
        <v>2895</v>
      </c>
      <c r="D176" t="s">
        <v>2780</v>
      </c>
      <c r="E176" t="s">
        <v>2823</v>
      </c>
      <c r="F176" t="str">
        <f>"47/504"</f>
        <v>47/504</v>
      </c>
      <c r="G176" t="s">
        <v>3300</v>
      </c>
      <c r="H176" t="s">
        <v>3301</v>
      </c>
      <c r="I176">
        <v>35.13</v>
      </c>
    </row>
    <row r="177" spans="1:9" ht="12.75">
      <c r="A177">
        <v>172</v>
      </c>
      <c r="B177" t="s">
        <v>3302</v>
      </c>
      <c r="C177" t="s">
        <v>2857</v>
      </c>
      <c r="D177" t="s">
        <v>2780</v>
      </c>
      <c r="E177" t="s">
        <v>2823</v>
      </c>
      <c r="F177" t="str">
        <f>"48/504"</f>
        <v>48/504</v>
      </c>
      <c r="G177" t="s">
        <v>3303</v>
      </c>
      <c r="H177" t="s">
        <v>3304</v>
      </c>
      <c r="I177">
        <v>35.12</v>
      </c>
    </row>
    <row r="178" spans="1:9" ht="12.75">
      <c r="A178">
        <v>173</v>
      </c>
      <c r="B178" t="s">
        <v>3305</v>
      </c>
      <c r="C178" t="s">
        <v>2807</v>
      </c>
      <c r="D178" t="s">
        <v>2780</v>
      </c>
      <c r="E178" t="s">
        <v>2781</v>
      </c>
      <c r="F178" t="str">
        <f>"65/329"</f>
        <v>65/329</v>
      </c>
      <c r="G178" t="s">
        <v>3306</v>
      </c>
      <c r="H178" t="s">
        <v>3307</v>
      </c>
      <c r="I178">
        <v>35.09</v>
      </c>
    </row>
    <row r="179" spans="1:9" ht="12.75">
      <c r="A179">
        <v>174</v>
      </c>
      <c r="B179" t="s">
        <v>3308</v>
      </c>
      <c r="C179" t="s">
        <v>3309</v>
      </c>
      <c r="D179" t="s">
        <v>2780</v>
      </c>
      <c r="E179" t="s">
        <v>2823</v>
      </c>
      <c r="F179" t="str">
        <f>"49/504"</f>
        <v>49/504</v>
      </c>
      <c r="G179" t="s">
        <v>3039</v>
      </c>
      <c r="H179" t="s">
        <v>3310</v>
      </c>
      <c r="I179">
        <v>35.09</v>
      </c>
    </row>
    <row r="180" spans="1:9" ht="12.75">
      <c r="A180">
        <v>175</v>
      </c>
      <c r="B180" t="s">
        <v>3311</v>
      </c>
      <c r="C180" t="s">
        <v>2966</v>
      </c>
      <c r="D180" t="s">
        <v>2780</v>
      </c>
      <c r="E180" t="s">
        <v>2823</v>
      </c>
      <c r="F180" t="str">
        <f>"50/504"</f>
        <v>50/504</v>
      </c>
      <c r="G180" t="s">
        <v>2787</v>
      </c>
      <c r="H180" t="s">
        <v>3312</v>
      </c>
      <c r="I180">
        <v>35.09</v>
      </c>
    </row>
    <row r="181" spans="1:9" ht="12.75">
      <c r="A181">
        <v>176</v>
      </c>
      <c r="B181" t="s">
        <v>3313</v>
      </c>
      <c r="C181" t="s">
        <v>3314</v>
      </c>
      <c r="D181" t="s">
        <v>2780</v>
      </c>
      <c r="E181" t="s">
        <v>2973</v>
      </c>
      <c r="F181" t="str">
        <f>"7/167"</f>
        <v>7/167</v>
      </c>
      <c r="G181" t="s">
        <v>3315</v>
      </c>
      <c r="H181" t="s">
        <v>3316</v>
      </c>
      <c r="I181">
        <v>35.09</v>
      </c>
    </row>
    <row r="182" spans="1:9" ht="12.75">
      <c r="A182">
        <v>177</v>
      </c>
      <c r="B182" t="s">
        <v>3317</v>
      </c>
      <c r="C182" t="s">
        <v>3318</v>
      </c>
      <c r="D182" t="s">
        <v>2780</v>
      </c>
      <c r="E182" t="s">
        <v>2781</v>
      </c>
      <c r="F182" t="str">
        <f>"66/329"</f>
        <v>66/329</v>
      </c>
      <c r="G182" t="s">
        <v>3319</v>
      </c>
      <c r="H182" t="s">
        <v>3320</v>
      </c>
      <c r="I182">
        <v>35.08</v>
      </c>
    </row>
    <row r="183" spans="1:9" ht="12.75">
      <c r="A183">
        <v>178</v>
      </c>
      <c r="B183" t="s">
        <v>3321</v>
      </c>
      <c r="C183" t="s">
        <v>2966</v>
      </c>
      <c r="D183" t="s">
        <v>2780</v>
      </c>
      <c r="E183" t="s">
        <v>2823</v>
      </c>
      <c r="F183" t="str">
        <f>"51/504"</f>
        <v>51/504</v>
      </c>
      <c r="G183" t="s">
        <v>3322</v>
      </c>
      <c r="H183" t="s">
        <v>3323</v>
      </c>
      <c r="I183">
        <v>35.07</v>
      </c>
    </row>
    <row r="184" spans="1:9" ht="12.75">
      <c r="A184">
        <v>179</v>
      </c>
      <c r="B184" t="s">
        <v>3324</v>
      </c>
      <c r="C184" t="s">
        <v>3260</v>
      </c>
      <c r="D184" t="s">
        <v>2780</v>
      </c>
      <c r="E184" t="s">
        <v>2781</v>
      </c>
      <c r="F184" t="str">
        <f>"67/329"</f>
        <v>67/329</v>
      </c>
      <c r="G184" t="s">
        <v>3082</v>
      </c>
      <c r="H184" t="s">
        <v>3325</v>
      </c>
      <c r="I184">
        <v>35.07</v>
      </c>
    </row>
    <row r="185" spans="1:9" ht="12.75">
      <c r="A185">
        <v>180</v>
      </c>
      <c r="B185" t="s">
        <v>3326</v>
      </c>
      <c r="C185" t="s">
        <v>2830</v>
      </c>
      <c r="D185" t="s">
        <v>2780</v>
      </c>
      <c r="E185" t="s">
        <v>2799</v>
      </c>
      <c r="F185" t="str">
        <f>"18/99"</f>
        <v>18/99</v>
      </c>
      <c r="G185" t="s">
        <v>3327</v>
      </c>
      <c r="H185" t="s">
        <v>3328</v>
      </c>
      <c r="I185">
        <v>35.05</v>
      </c>
    </row>
    <row r="186" spans="1:9" ht="12.75">
      <c r="A186">
        <v>181</v>
      </c>
      <c r="B186" t="s">
        <v>3329</v>
      </c>
      <c r="C186" t="s">
        <v>3141</v>
      </c>
      <c r="D186" t="s">
        <v>2780</v>
      </c>
      <c r="E186" t="s">
        <v>2823</v>
      </c>
      <c r="F186" t="str">
        <f>"52/504"</f>
        <v>52/504</v>
      </c>
      <c r="G186" t="s">
        <v>2883</v>
      </c>
      <c r="H186" t="s">
        <v>3330</v>
      </c>
      <c r="I186">
        <v>35.04</v>
      </c>
    </row>
    <row r="187" spans="1:9" ht="12.75">
      <c r="A187">
        <v>182</v>
      </c>
      <c r="B187" t="s">
        <v>3331</v>
      </c>
      <c r="C187" t="s">
        <v>2963</v>
      </c>
      <c r="D187" t="s">
        <v>2780</v>
      </c>
      <c r="E187" t="s">
        <v>2799</v>
      </c>
      <c r="F187" t="str">
        <f>"19/99"</f>
        <v>19/99</v>
      </c>
      <c r="G187" t="s">
        <v>2889</v>
      </c>
      <c r="H187" t="s">
        <v>3332</v>
      </c>
      <c r="I187">
        <v>35.02</v>
      </c>
    </row>
    <row r="188" spans="1:9" ht="12.75">
      <c r="A188">
        <v>183</v>
      </c>
      <c r="B188" t="s">
        <v>3333</v>
      </c>
      <c r="C188" t="s">
        <v>3008</v>
      </c>
      <c r="D188" t="s">
        <v>2780</v>
      </c>
      <c r="E188" t="s">
        <v>2823</v>
      </c>
      <c r="F188" t="str">
        <f>"53/504"</f>
        <v>53/504</v>
      </c>
      <c r="G188" t="s">
        <v>3334</v>
      </c>
      <c r="H188" t="s">
        <v>3335</v>
      </c>
      <c r="I188">
        <v>35.02</v>
      </c>
    </row>
    <row r="189" spans="1:9" ht="12.75">
      <c r="A189">
        <v>184</v>
      </c>
      <c r="B189" t="s">
        <v>3336</v>
      </c>
      <c r="C189" t="s">
        <v>3337</v>
      </c>
      <c r="D189" t="s">
        <v>2780</v>
      </c>
      <c r="E189" t="s">
        <v>2799</v>
      </c>
      <c r="F189" t="str">
        <f>"20/99"</f>
        <v>20/99</v>
      </c>
      <c r="G189" t="s">
        <v>3338</v>
      </c>
      <c r="H189" t="s">
        <v>3339</v>
      </c>
      <c r="I189">
        <v>35.02</v>
      </c>
    </row>
    <row r="190" spans="1:9" ht="12.75">
      <c r="A190">
        <v>185</v>
      </c>
      <c r="B190" t="s">
        <v>3340</v>
      </c>
      <c r="C190" t="s">
        <v>3017</v>
      </c>
      <c r="D190" t="s">
        <v>2780</v>
      </c>
      <c r="E190" t="s">
        <v>2823</v>
      </c>
      <c r="F190" t="str">
        <f>"54/504"</f>
        <v>54/504</v>
      </c>
      <c r="G190" t="s">
        <v>3277</v>
      </c>
      <c r="H190" t="s">
        <v>3341</v>
      </c>
      <c r="I190">
        <v>35.01</v>
      </c>
    </row>
    <row r="191" spans="1:9" ht="12.75">
      <c r="A191">
        <v>186</v>
      </c>
      <c r="B191" t="s">
        <v>3342</v>
      </c>
      <c r="C191" t="s">
        <v>3343</v>
      </c>
      <c r="D191" t="s">
        <v>2780</v>
      </c>
      <c r="E191" t="s">
        <v>2823</v>
      </c>
      <c r="F191" t="str">
        <f>"55/504"</f>
        <v>55/504</v>
      </c>
      <c r="G191" t="s">
        <v>3322</v>
      </c>
      <c r="H191" t="s">
        <v>3344</v>
      </c>
      <c r="I191">
        <v>35</v>
      </c>
    </row>
    <row r="192" spans="1:9" ht="12.75">
      <c r="A192">
        <v>187</v>
      </c>
      <c r="B192" t="s">
        <v>3345</v>
      </c>
      <c r="C192" t="s">
        <v>3346</v>
      </c>
      <c r="D192" t="s">
        <v>2780</v>
      </c>
      <c r="E192" t="s">
        <v>2818</v>
      </c>
      <c r="F192" t="str">
        <f>"10/307"</f>
        <v>10/307</v>
      </c>
      <c r="G192" t="s">
        <v>3347</v>
      </c>
      <c r="H192" t="s">
        <v>3348</v>
      </c>
      <c r="I192">
        <v>35</v>
      </c>
    </row>
    <row r="193" spans="1:9" ht="12.75">
      <c r="A193">
        <v>188</v>
      </c>
      <c r="B193" t="s">
        <v>3349</v>
      </c>
      <c r="C193" t="s">
        <v>3350</v>
      </c>
      <c r="D193" t="s">
        <v>2780</v>
      </c>
      <c r="E193" t="s">
        <v>2823</v>
      </c>
      <c r="F193" t="str">
        <f>"56/504"</f>
        <v>56/504</v>
      </c>
      <c r="G193" t="s">
        <v>3347</v>
      </c>
      <c r="H193" t="s">
        <v>3351</v>
      </c>
      <c r="I193">
        <v>34.97</v>
      </c>
    </row>
    <row r="194" spans="1:9" ht="12.75">
      <c r="A194">
        <v>189</v>
      </c>
      <c r="B194" t="s">
        <v>3352</v>
      </c>
      <c r="C194" t="s">
        <v>2963</v>
      </c>
      <c r="D194" t="s">
        <v>2780</v>
      </c>
      <c r="E194" t="s">
        <v>2799</v>
      </c>
      <c r="F194" t="str">
        <f>"21/99"</f>
        <v>21/99</v>
      </c>
      <c r="G194" t="s">
        <v>3088</v>
      </c>
      <c r="H194" t="s">
        <v>3353</v>
      </c>
      <c r="I194">
        <v>34.96</v>
      </c>
    </row>
    <row r="195" spans="1:9" ht="12.75">
      <c r="A195">
        <v>190</v>
      </c>
      <c r="B195" t="s">
        <v>3105</v>
      </c>
      <c r="C195" t="s">
        <v>2963</v>
      </c>
      <c r="D195" t="s">
        <v>2780</v>
      </c>
      <c r="E195" t="s">
        <v>2781</v>
      </c>
      <c r="F195" t="str">
        <f>"68/329"</f>
        <v>68/329</v>
      </c>
      <c r="G195" t="s">
        <v>3148</v>
      </c>
      <c r="H195" t="s">
        <v>3354</v>
      </c>
      <c r="I195">
        <v>34.95</v>
      </c>
    </row>
    <row r="196" spans="1:9" ht="12.75">
      <c r="A196">
        <v>191</v>
      </c>
      <c r="B196" t="s">
        <v>3355</v>
      </c>
      <c r="C196" t="s">
        <v>3356</v>
      </c>
      <c r="D196" t="s">
        <v>2780</v>
      </c>
      <c r="E196" t="s">
        <v>2781</v>
      </c>
      <c r="F196" t="str">
        <f>"69/329"</f>
        <v>69/329</v>
      </c>
      <c r="G196" t="s">
        <v>3357</v>
      </c>
      <c r="H196" t="s">
        <v>3358</v>
      </c>
      <c r="I196">
        <v>34.93</v>
      </c>
    </row>
    <row r="197" spans="1:9" ht="12.75">
      <c r="A197">
        <v>192</v>
      </c>
      <c r="B197" t="s">
        <v>3359</v>
      </c>
      <c r="C197" t="s">
        <v>2865</v>
      </c>
      <c r="D197" t="s">
        <v>2780</v>
      </c>
      <c r="E197" t="s">
        <v>2823</v>
      </c>
      <c r="F197" t="str">
        <f>"58/504"</f>
        <v>58/504</v>
      </c>
      <c r="G197" t="s">
        <v>3360</v>
      </c>
      <c r="H197" t="s">
        <v>3361</v>
      </c>
      <c r="I197">
        <v>34.92</v>
      </c>
    </row>
    <row r="198" spans="1:9" ht="12.75">
      <c r="A198">
        <v>193</v>
      </c>
      <c r="B198" t="s">
        <v>3362</v>
      </c>
      <c r="C198" t="s">
        <v>2830</v>
      </c>
      <c r="D198" t="s">
        <v>2780</v>
      </c>
      <c r="E198" t="s">
        <v>2823</v>
      </c>
      <c r="F198" t="str">
        <f>"57/504"</f>
        <v>57/504</v>
      </c>
      <c r="G198" t="s">
        <v>3363</v>
      </c>
      <c r="H198" t="s">
        <v>3361</v>
      </c>
      <c r="I198">
        <v>34.92</v>
      </c>
    </row>
    <row r="199" spans="1:9" ht="12.75">
      <c r="A199">
        <v>194</v>
      </c>
      <c r="B199" t="s">
        <v>3364</v>
      </c>
      <c r="C199" t="s">
        <v>2861</v>
      </c>
      <c r="D199" t="s">
        <v>2780</v>
      </c>
      <c r="E199" t="s">
        <v>2818</v>
      </c>
      <c r="F199" t="str">
        <f>"11/307"</f>
        <v>11/307</v>
      </c>
      <c r="G199" t="s">
        <v>3088</v>
      </c>
      <c r="H199" t="s">
        <v>3365</v>
      </c>
      <c r="I199">
        <v>34.92</v>
      </c>
    </row>
    <row r="200" spans="1:9" ht="12.75">
      <c r="A200">
        <v>195</v>
      </c>
      <c r="B200" t="s">
        <v>3366</v>
      </c>
      <c r="C200" t="s">
        <v>3367</v>
      </c>
      <c r="D200" t="s">
        <v>2780</v>
      </c>
      <c r="E200" t="s">
        <v>2823</v>
      </c>
      <c r="F200" t="str">
        <f>"59/504"</f>
        <v>59/504</v>
      </c>
      <c r="G200" t="s">
        <v>3368</v>
      </c>
      <c r="H200" t="s">
        <v>3369</v>
      </c>
      <c r="I200">
        <v>34.91</v>
      </c>
    </row>
    <row r="201" spans="1:9" ht="12.75">
      <c r="A201">
        <v>196</v>
      </c>
      <c r="B201" t="s">
        <v>3370</v>
      </c>
      <c r="C201" t="s">
        <v>3371</v>
      </c>
      <c r="D201" t="s">
        <v>2780</v>
      </c>
      <c r="E201" t="s">
        <v>2973</v>
      </c>
      <c r="F201" t="str">
        <f>"8/167"</f>
        <v>8/167</v>
      </c>
      <c r="G201" t="s">
        <v>2920</v>
      </c>
      <c r="H201" t="s">
        <v>3372</v>
      </c>
      <c r="I201">
        <v>34.9</v>
      </c>
    </row>
    <row r="202" spans="1:9" ht="12.75">
      <c r="A202">
        <v>197</v>
      </c>
      <c r="B202" t="s">
        <v>3373</v>
      </c>
      <c r="C202" t="s">
        <v>3141</v>
      </c>
      <c r="D202" t="s">
        <v>2780</v>
      </c>
      <c r="E202" t="s">
        <v>2823</v>
      </c>
      <c r="F202" t="str">
        <f>"60/504"</f>
        <v>60/504</v>
      </c>
      <c r="G202" t="s">
        <v>3363</v>
      </c>
      <c r="H202" t="s">
        <v>3374</v>
      </c>
      <c r="I202">
        <v>34.89</v>
      </c>
    </row>
    <row r="203" spans="1:9" ht="12.75">
      <c r="A203">
        <v>198</v>
      </c>
      <c r="B203" t="s">
        <v>3375</v>
      </c>
      <c r="C203" t="s">
        <v>3376</v>
      </c>
      <c r="D203" t="s">
        <v>2780</v>
      </c>
      <c r="E203" t="s">
        <v>2818</v>
      </c>
      <c r="F203" t="str">
        <f>"12/307"</f>
        <v>12/307</v>
      </c>
      <c r="G203" t="s">
        <v>2787</v>
      </c>
      <c r="H203" t="s">
        <v>3377</v>
      </c>
      <c r="I203">
        <v>34.89</v>
      </c>
    </row>
    <row r="204" spans="1:9" ht="12.75">
      <c r="A204">
        <v>199</v>
      </c>
      <c r="B204" t="s">
        <v>3378</v>
      </c>
      <c r="C204" t="s">
        <v>2814</v>
      </c>
      <c r="D204" t="s">
        <v>2780</v>
      </c>
      <c r="E204" t="s">
        <v>2799</v>
      </c>
      <c r="F204" t="str">
        <f>"22/99"</f>
        <v>22/99</v>
      </c>
      <c r="G204" t="s">
        <v>3379</v>
      </c>
      <c r="H204" t="s">
        <v>3380</v>
      </c>
      <c r="I204">
        <v>34.87</v>
      </c>
    </row>
    <row r="205" spans="1:9" ht="12.75">
      <c r="A205">
        <v>200</v>
      </c>
      <c r="B205" t="s">
        <v>3381</v>
      </c>
      <c r="C205" t="s">
        <v>2814</v>
      </c>
      <c r="D205" t="s">
        <v>2780</v>
      </c>
      <c r="E205" t="s">
        <v>2781</v>
      </c>
      <c r="F205" t="str">
        <f>"70/329"</f>
        <v>70/329</v>
      </c>
      <c r="G205" t="s">
        <v>3168</v>
      </c>
      <c r="H205" t="s">
        <v>3382</v>
      </c>
      <c r="I205">
        <v>34.86</v>
      </c>
    </row>
    <row r="206" spans="1:9" ht="12.75">
      <c r="A206">
        <v>201</v>
      </c>
      <c r="B206" t="s">
        <v>3383</v>
      </c>
      <c r="C206" t="s">
        <v>2963</v>
      </c>
      <c r="D206" t="s">
        <v>2780</v>
      </c>
      <c r="E206" t="s">
        <v>2823</v>
      </c>
      <c r="F206" t="str">
        <f>"61/504"</f>
        <v>61/504</v>
      </c>
      <c r="G206" t="s">
        <v>3384</v>
      </c>
      <c r="H206" t="s">
        <v>3385</v>
      </c>
      <c r="I206">
        <v>34.85</v>
      </c>
    </row>
    <row r="207" spans="1:9" ht="12.75">
      <c r="A207">
        <v>202</v>
      </c>
      <c r="B207" t="s">
        <v>3386</v>
      </c>
      <c r="C207" t="s">
        <v>3387</v>
      </c>
      <c r="D207" t="s">
        <v>2780</v>
      </c>
      <c r="E207" t="s">
        <v>2781</v>
      </c>
      <c r="F207" t="str">
        <f>"71/329"</f>
        <v>71/329</v>
      </c>
      <c r="G207" t="s">
        <v>3206</v>
      </c>
      <c r="H207" t="s">
        <v>3388</v>
      </c>
      <c r="I207">
        <v>34.84</v>
      </c>
    </row>
    <row r="208" spans="1:9" ht="12.75">
      <c r="A208">
        <v>203</v>
      </c>
      <c r="B208" t="s">
        <v>3193</v>
      </c>
      <c r="C208" t="s">
        <v>2966</v>
      </c>
      <c r="D208" t="s">
        <v>2780</v>
      </c>
      <c r="E208" t="s">
        <v>2823</v>
      </c>
      <c r="F208" t="str">
        <f>"62/504"</f>
        <v>62/504</v>
      </c>
      <c r="G208" t="s">
        <v>2804</v>
      </c>
      <c r="H208" t="s">
        <v>3389</v>
      </c>
      <c r="I208">
        <v>34.84</v>
      </c>
    </row>
    <row r="209" spans="1:9" ht="12.75">
      <c r="A209">
        <v>204</v>
      </c>
      <c r="B209" t="s">
        <v>3390</v>
      </c>
      <c r="C209" t="s">
        <v>2865</v>
      </c>
      <c r="D209" t="s">
        <v>2780</v>
      </c>
      <c r="E209" t="s">
        <v>2823</v>
      </c>
      <c r="F209" t="str">
        <f>"63/504"</f>
        <v>63/504</v>
      </c>
      <c r="G209" t="s">
        <v>3391</v>
      </c>
      <c r="H209" t="s">
        <v>3392</v>
      </c>
      <c r="I209">
        <v>34.84</v>
      </c>
    </row>
    <row r="210" spans="1:9" ht="12.75">
      <c r="A210">
        <v>205</v>
      </c>
      <c r="B210" t="s">
        <v>3393</v>
      </c>
      <c r="C210" t="s">
        <v>2861</v>
      </c>
      <c r="D210" t="s">
        <v>2780</v>
      </c>
      <c r="E210" t="s">
        <v>2799</v>
      </c>
      <c r="F210" t="str">
        <f>"23/99"</f>
        <v>23/99</v>
      </c>
      <c r="G210" t="s">
        <v>3394</v>
      </c>
      <c r="H210" t="s">
        <v>3395</v>
      </c>
      <c r="I210">
        <v>34.84</v>
      </c>
    </row>
    <row r="211" spans="1:9" ht="12.75">
      <c r="A211">
        <v>206</v>
      </c>
      <c r="B211" t="s">
        <v>3396</v>
      </c>
      <c r="C211" t="s">
        <v>2861</v>
      </c>
      <c r="D211" t="s">
        <v>2780</v>
      </c>
      <c r="E211" t="s">
        <v>2781</v>
      </c>
      <c r="F211" t="str">
        <f>"72/329"</f>
        <v>72/329</v>
      </c>
      <c r="G211" t="s">
        <v>2877</v>
      </c>
      <c r="H211" t="s">
        <v>3397</v>
      </c>
      <c r="I211">
        <v>34.82</v>
      </c>
    </row>
    <row r="212" spans="1:9" ht="12.75">
      <c r="A212">
        <v>207</v>
      </c>
      <c r="B212" t="s">
        <v>3398</v>
      </c>
      <c r="C212" t="s">
        <v>3057</v>
      </c>
      <c r="D212" t="s">
        <v>2780</v>
      </c>
      <c r="E212" t="s">
        <v>2818</v>
      </c>
      <c r="F212" t="str">
        <f>"13/307"</f>
        <v>13/307</v>
      </c>
      <c r="G212" t="s">
        <v>3399</v>
      </c>
      <c r="H212" t="s">
        <v>3400</v>
      </c>
      <c r="I212">
        <v>34.82</v>
      </c>
    </row>
    <row r="213" spans="1:9" ht="12.75">
      <c r="A213">
        <v>208</v>
      </c>
      <c r="B213" t="s">
        <v>3401</v>
      </c>
      <c r="C213" t="s">
        <v>3213</v>
      </c>
      <c r="D213" t="s">
        <v>2780</v>
      </c>
      <c r="E213" t="s">
        <v>2781</v>
      </c>
      <c r="F213" t="str">
        <f>"73/329"</f>
        <v>73/329</v>
      </c>
      <c r="G213" t="s">
        <v>3067</v>
      </c>
      <c r="H213" t="s">
        <v>3402</v>
      </c>
      <c r="I213">
        <v>34.82</v>
      </c>
    </row>
    <row r="214" spans="1:9" ht="12.75">
      <c r="A214">
        <v>209</v>
      </c>
      <c r="B214" t="s">
        <v>3403</v>
      </c>
      <c r="C214" t="s">
        <v>2840</v>
      </c>
      <c r="D214" t="s">
        <v>2780</v>
      </c>
      <c r="E214" t="s">
        <v>2823</v>
      </c>
      <c r="F214" t="str">
        <f>"64/504"</f>
        <v>64/504</v>
      </c>
      <c r="G214" t="s">
        <v>3261</v>
      </c>
      <c r="H214" t="s">
        <v>3404</v>
      </c>
      <c r="I214">
        <v>34.82</v>
      </c>
    </row>
    <row r="215" spans="1:9" ht="12.75">
      <c r="A215">
        <v>210</v>
      </c>
      <c r="B215" t="s">
        <v>3405</v>
      </c>
      <c r="C215" t="s">
        <v>3406</v>
      </c>
      <c r="D215" t="s">
        <v>2780</v>
      </c>
      <c r="E215" t="s">
        <v>2818</v>
      </c>
      <c r="F215" t="str">
        <f>"14/307"</f>
        <v>14/307</v>
      </c>
      <c r="G215" t="s">
        <v>3181</v>
      </c>
      <c r="H215" t="s">
        <v>3407</v>
      </c>
      <c r="I215">
        <v>34.81</v>
      </c>
    </row>
    <row r="216" spans="1:9" ht="12.75">
      <c r="A216">
        <v>211</v>
      </c>
      <c r="B216" t="s">
        <v>3408</v>
      </c>
      <c r="C216" t="s">
        <v>2814</v>
      </c>
      <c r="D216" t="s">
        <v>2780</v>
      </c>
      <c r="E216" t="s">
        <v>2799</v>
      </c>
      <c r="F216" t="str">
        <f>"24/99"</f>
        <v>24/99</v>
      </c>
      <c r="G216" t="s">
        <v>3409</v>
      </c>
      <c r="H216" t="s">
        <v>3410</v>
      </c>
      <c r="I216">
        <v>34.81</v>
      </c>
    </row>
    <row r="217" spans="1:9" ht="12.75">
      <c r="A217">
        <v>212</v>
      </c>
      <c r="B217" t="s">
        <v>3411</v>
      </c>
      <c r="C217" t="s">
        <v>2966</v>
      </c>
      <c r="D217" t="s">
        <v>2780</v>
      </c>
      <c r="E217" t="s">
        <v>2818</v>
      </c>
      <c r="F217" t="str">
        <f>"15/307"</f>
        <v>15/307</v>
      </c>
      <c r="G217" t="s">
        <v>3412</v>
      </c>
      <c r="H217" t="s">
        <v>3413</v>
      </c>
      <c r="I217">
        <v>34.8</v>
      </c>
    </row>
    <row r="218" spans="1:9" ht="12.75">
      <c r="A218">
        <v>213</v>
      </c>
      <c r="B218" t="s">
        <v>3414</v>
      </c>
      <c r="C218" t="s">
        <v>2857</v>
      </c>
      <c r="D218" t="s">
        <v>2780</v>
      </c>
      <c r="E218" t="s">
        <v>2781</v>
      </c>
      <c r="F218" t="str">
        <f>"74/329"</f>
        <v>74/329</v>
      </c>
      <c r="G218" t="s">
        <v>3412</v>
      </c>
      <c r="H218" t="s">
        <v>3415</v>
      </c>
      <c r="I218">
        <v>34.79</v>
      </c>
    </row>
    <row r="219" spans="1:9" ht="12.75">
      <c r="A219">
        <v>214</v>
      </c>
      <c r="B219" t="s">
        <v>3416</v>
      </c>
      <c r="C219" t="s">
        <v>3417</v>
      </c>
      <c r="D219" t="s">
        <v>2780</v>
      </c>
      <c r="E219" t="s">
        <v>2818</v>
      </c>
      <c r="F219" t="str">
        <f>"16/307"</f>
        <v>16/307</v>
      </c>
      <c r="G219" t="s">
        <v>3418</v>
      </c>
      <c r="H219" t="s">
        <v>3419</v>
      </c>
      <c r="I219">
        <v>34.77</v>
      </c>
    </row>
    <row r="220" spans="1:9" ht="12.75">
      <c r="A220">
        <v>215</v>
      </c>
      <c r="B220" t="s">
        <v>3420</v>
      </c>
      <c r="C220" t="s">
        <v>3421</v>
      </c>
      <c r="D220" t="s">
        <v>2780</v>
      </c>
      <c r="E220" t="s">
        <v>2781</v>
      </c>
      <c r="F220" t="str">
        <f>"75/329"</f>
        <v>75/329</v>
      </c>
      <c r="G220" t="s">
        <v>3422</v>
      </c>
      <c r="H220" t="s">
        <v>3423</v>
      </c>
      <c r="I220">
        <v>34.73</v>
      </c>
    </row>
    <row r="221" spans="1:9" ht="12.75">
      <c r="A221">
        <v>216</v>
      </c>
      <c r="B221" t="s">
        <v>3424</v>
      </c>
      <c r="C221" t="s">
        <v>2865</v>
      </c>
      <c r="D221" t="s">
        <v>2780</v>
      </c>
      <c r="E221" t="s">
        <v>2818</v>
      </c>
      <c r="F221" t="str">
        <f>"17/307"</f>
        <v>17/307</v>
      </c>
      <c r="G221" t="s">
        <v>3425</v>
      </c>
      <c r="H221" t="s">
        <v>3426</v>
      </c>
      <c r="I221">
        <v>34.73</v>
      </c>
    </row>
    <row r="222" spans="1:9" ht="12.75">
      <c r="A222">
        <v>217</v>
      </c>
      <c r="B222" t="s">
        <v>3427</v>
      </c>
      <c r="C222" t="s">
        <v>2807</v>
      </c>
      <c r="D222" t="s">
        <v>2780</v>
      </c>
      <c r="E222" t="s">
        <v>2823</v>
      </c>
      <c r="F222" t="str">
        <f>"65/504"</f>
        <v>65/504</v>
      </c>
      <c r="G222" t="s">
        <v>3428</v>
      </c>
      <c r="H222" t="s">
        <v>3429</v>
      </c>
      <c r="I222">
        <v>34.68</v>
      </c>
    </row>
    <row r="223" spans="1:9" ht="12.75">
      <c r="A223">
        <v>218</v>
      </c>
      <c r="B223" t="s">
        <v>3430</v>
      </c>
      <c r="C223" t="s">
        <v>2836</v>
      </c>
      <c r="D223" t="s">
        <v>2780</v>
      </c>
      <c r="E223" t="s">
        <v>2823</v>
      </c>
      <c r="F223" t="str">
        <f>"66/504"</f>
        <v>66/504</v>
      </c>
      <c r="G223" t="s">
        <v>2787</v>
      </c>
      <c r="H223" t="s">
        <v>3431</v>
      </c>
      <c r="I223">
        <v>34.68</v>
      </c>
    </row>
    <row r="224" spans="1:9" ht="12.75">
      <c r="A224">
        <v>219</v>
      </c>
      <c r="B224" t="s">
        <v>3432</v>
      </c>
      <c r="C224" t="s">
        <v>2817</v>
      </c>
      <c r="D224" t="s">
        <v>2780</v>
      </c>
      <c r="E224" t="s">
        <v>2823</v>
      </c>
      <c r="F224" t="str">
        <f>"67/504"</f>
        <v>67/504</v>
      </c>
      <c r="G224" t="s">
        <v>3433</v>
      </c>
      <c r="H224" t="s">
        <v>3434</v>
      </c>
      <c r="I224">
        <v>34.68</v>
      </c>
    </row>
    <row r="225" spans="1:9" ht="12.75">
      <c r="A225">
        <v>220</v>
      </c>
      <c r="B225" t="s">
        <v>3435</v>
      </c>
      <c r="C225" t="s">
        <v>2861</v>
      </c>
      <c r="D225" t="s">
        <v>2780</v>
      </c>
      <c r="E225" t="s">
        <v>2823</v>
      </c>
      <c r="F225" t="str">
        <f>"68/504"</f>
        <v>68/504</v>
      </c>
      <c r="G225" t="s">
        <v>3436</v>
      </c>
      <c r="H225" t="s">
        <v>3437</v>
      </c>
      <c r="I225">
        <v>34.67</v>
      </c>
    </row>
    <row r="226" spans="1:9" ht="12.75">
      <c r="A226">
        <v>221</v>
      </c>
      <c r="B226" t="s">
        <v>3378</v>
      </c>
      <c r="C226" t="s">
        <v>3438</v>
      </c>
      <c r="D226" t="s">
        <v>2780</v>
      </c>
      <c r="E226" t="s">
        <v>2823</v>
      </c>
      <c r="F226" t="str">
        <f>"69/504"</f>
        <v>69/504</v>
      </c>
      <c r="G226" t="s">
        <v>3117</v>
      </c>
      <c r="H226" t="s">
        <v>3439</v>
      </c>
      <c r="I226">
        <v>34.67</v>
      </c>
    </row>
    <row r="227" spans="1:9" ht="12.75">
      <c r="A227">
        <v>222</v>
      </c>
      <c r="B227" t="s">
        <v>3440</v>
      </c>
      <c r="C227" t="s">
        <v>2836</v>
      </c>
      <c r="D227" t="s">
        <v>2780</v>
      </c>
      <c r="E227" t="s">
        <v>2781</v>
      </c>
      <c r="F227" t="str">
        <f>"76/329"</f>
        <v>76/329</v>
      </c>
      <c r="G227" t="s">
        <v>2787</v>
      </c>
      <c r="H227" t="s">
        <v>3441</v>
      </c>
      <c r="I227">
        <v>34.66</v>
      </c>
    </row>
    <row r="228" spans="1:9" ht="12.75">
      <c r="A228">
        <v>223</v>
      </c>
      <c r="B228" t="s">
        <v>3442</v>
      </c>
      <c r="C228" t="s">
        <v>2836</v>
      </c>
      <c r="D228" t="s">
        <v>2780</v>
      </c>
      <c r="E228" t="s">
        <v>2823</v>
      </c>
      <c r="F228" t="str">
        <f>"70/504"</f>
        <v>70/504</v>
      </c>
      <c r="G228" t="s">
        <v>3082</v>
      </c>
      <c r="H228" t="s">
        <v>3443</v>
      </c>
      <c r="I228">
        <v>34.66</v>
      </c>
    </row>
    <row r="229" spans="1:9" ht="12.75">
      <c r="A229">
        <v>224</v>
      </c>
      <c r="B229" t="s">
        <v>3444</v>
      </c>
      <c r="C229" t="s">
        <v>3445</v>
      </c>
      <c r="D229" t="s">
        <v>2780</v>
      </c>
      <c r="E229" t="s">
        <v>2823</v>
      </c>
      <c r="F229" t="str">
        <f>"71/504"</f>
        <v>71/504</v>
      </c>
      <c r="G229" t="s">
        <v>2787</v>
      </c>
      <c r="H229" t="s">
        <v>3446</v>
      </c>
      <c r="I229">
        <v>34.65</v>
      </c>
    </row>
    <row r="230" spans="1:9" ht="12.75">
      <c r="A230">
        <v>225</v>
      </c>
      <c r="B230" t="s">
        <v>3447</v>
      </c>
      <c r="C230" t="s">
        <v>2951</v>
      </c>
      <c r="D230" t="s">
        <v>2780</v>
      </c>
      <c r="E230" t="s">
        <v>2786</v>
      </c>
      <c r="F230" t="str">
        <f>"19/58"</f>
        <v>19/58</v>
      </c>
      <c r="G230" t="s">
        <v>3327</v>
      </c>
      <c r="H230" t="s">
        <v>3448</v>
      </c>
      <c r="I230">
        <v>34.62</v>
      </c>
    </row>
    <row r="231" spans="1:9" ht="12.75">
      <c r="A231">
        <v>226</v>
      </c>
      <c r="B231" t="s">
        <v>3449</v>
      </c>
      <c r="C231" t="s">
        <v>2951</v>
      </c>
      <c r="D231" t="s">
        <v>2780</v>
      </c>
      <c r="E231" t="s">
        <v>2823</v>
      </c>
      <c r="F231" t="str">
        <f>"72/504"</f>
        <v>72/504</v>
      </c>
      <c r="G231" t="s">
        <v>3450</v>
      </c>
      <c r="H231" t="s">
        <v>3451</v>
      </c>
      <c r="I231">
        <v>34.62</v>
      </c>
    </row>
    <row r="232" spans="1:9" ht="12.75">
      <c r="A232">
        <v>227</v>
      </c>
      <c r="B232" t="s">
        <v>3452</v>
      </c>
      <c r="C232" t="s">
        <v>3417</v>
      </c>
      <c r="D232" t="s">
        <v>2780</v>
      </c>
      <c r="E232" t="s">
        <v>2823</v>
      </c>
      <c r="F232" t="str">
        <f>"73/504"</f>
        <v>73/504</v>
      </c>
      <c r="G232" t="s">
        <v>3327</v>
      </c>
      <c r="H232" t="s">
        <v>3453</v>
      </c>
      <c r="I232">
        <v>34.61</v>
      </c>
    </row>
    <row r="233" spans="1:9" ht="12.75">
      <c r="A233">
        <v>228</v>
      </c>
      <c r="B233" t="s">
        <v>3454</v>
      </c>
      <c r="C233" t="s">
        <v>3455</v>
      </c>
      <c r="D233" t="s">
        <v>3031</v>
      </c>
      <c r="E233" t="s">
        <v>3032</v>
      </c>
      <c r="F233" t="str">
        <f>"5/54"</f>
        <v>5/54</v>
      </c>
      <c r="G233" t="s">
        <v>3456</v>
      </c>
      <c r="H233" t="s">
        <v>3457</v>
      </c>
      <c r="I233">
        <v>34.58</v>
      </c>
    </row>
    <row r="234" spans="1:9" ht="12.75">
      <c r="A234">
        <v>229</v>
      </c>
      <c r="B234" t="s">
        <v>3458</v>
      </c>
      <c r="C234" t="s">
        <v>2836</v>
      </c>
      <c r="D234" t="s">
        <v>2780</v>
      </c>
      <c r="E234" t="s">
        <v>2786</v>
      </c>
      <c r="F234" t="str">
        <f>"20/58"</f>
        <v>20/58</v>
      </c>
      <c r="G234" t="s">
        <v>2896</v>
      </c>
      <c r="H234" t="s">
        <v>3459</v>
      </c>
      <c r="I234">
        <v>34.57</v>
      </c>
    </row>
    <row r="235" spans="1:9" ht="12.75">
      <c r="A235">
        <v>230</v>
      </c>
      <c r="B235" t="s">
        <v>3460</v>
      </c>
      <c r="C235" t="s">
        <v>2942</v>
      </c>
      <c r="D235" t="s">
        <v>2780</v>
      </c>
      <c r="E235" t="s">
        <v>2973</v>
      </c>
      <c r="F235" t="str">
        <f>"9/167"</f>
        <v>9/167</v>
      </c>
      <c r="G235" t="s">
        <v>3461</v>
      </c>
      <c r="H235" t="s">
        <v>3462</v>
      </c>
      <c r="I235">
        <v>34.57</v>
      </c>
    </row>
    <row r="236" spans="1:9" ht="12.75">
      <c r="A236">
        <v>231</v>
      </c>
      <c r="B236" t="s">
        <v>3463</v>
      </c>
      <c r="C236" t="s">
        <v>3464</v>
      </c>
      <c r="D236" t="s">
        <v>2780</v>
      </c>
      <c r="E236" t="s">
        <v>2786</v>
      </c>
      <c r="F236" t="str">
        <f>"21/58"</f>
        <v>21/58</v>
      </c>
      <c r="G236" t="s">
        <v>3465</v>
      </c>
      <c r="H236" t="s">
        <v>3466</v>
      </c>
      <c r="I236">
        <v>34.57</v>
      </c>
    </row>
    <row r="237" spans="1:9" ht="12.75">
      <c r="A237">
        <v>232</v>
      </c>
      <c r="B237" t="s">
        <v>3467</v>
      </c>
      <c r="C237" t="s">
        <v>2939</v>
      </c>
      <c r="D237" t="s">
        <v>2780</v>
      </c>
      <c r="E237" t="s">
        <v>2781</v>
      </c>
      <c r="F237" t="str">
        <f>"77/329"</f>
        <v>77/329</v>
      </c>
      <c r="G237" t="s">
        <v>3468</v>
      </c>
      <c r="H237" t="s">
        <v>3469</v>
      </c>
      <c r="I237">
        <v>34.57</v>
      </c>
    </row>
    <row r="238" spans="1:9" ht="12.75">
      <c r="A238">
        <v>233</v>
      </c>
      <c r="B238" t="s">
        <v>3470</v>
      </c>
      <c r="C238" t="s">
        <v>3471</v>
      </c>
      <c r="D238" t="s">
        <v>2780</v>
      </c>
      <c r="E238" t="s">
        <v>2823</v>
      </c>
      <c r="F238" t="str">
        <f>"74/504"</f>
        <v>74/504</v>
      </c>
      <c r="G238" t="s">
        <v>3472</v>
      </c>
      <c r="H238" t="s">
        <v>3473</v>
      </c>
      <c r="I238">
        <v>34.56</v>
      </c>
    </row>
    <row r="239" spans="1:9" ht="12.75">
      <c r="A239">
        <v>234</v>
      </c>
      <c r="B239" t="s">
        <v>3474</v>
      </c>
      <c r="C239" t="s">
        <v>3475</v>
      </c>
      <c r="D239" t="s">
        <v>2780</v>
      </c>
      <c r="E239" t="s">
        <v>2823</v>
      </c>
      <c r="F239" t="str">
        <f>"75/504"</f>
        <v>75/504</v>
      </c>
      <c r="G239" t="s">
        <v>3476</v>
      </c>
      <c r="H239" t="s">
        <v>3477</v>
      </c>
      <c r="I239">
        <v>34.56</v>
      </c>
    </row>
    <row r="240" spans="1:9" ht="12.75">
      <c r="A240">
        <v>235</v>
      </c>
      <c r="B240" t="s">
        <v>3478</v>
      </c>
      <c r="C240" t="s">
        <v>2814</v>
      </c>
      <c r="D240" t="s">
        <v>2780</v>
      </c>
      <c r="E240" t="s">
        <v>2781</v>
      </c>
      <c r="F240" t="str">
        <f>"78/329"</f>
        <v>78/329</v>
      </c>
      <c r="G240" t="s">
        <v>3479</v>
      </c>
      <c r="H240" t="s">
        <v>3480</v>
      </c>
      <c r="I240">
        <v>34.55</v>
      </c>
    </row>
    <row r="241" spans="1:9" ht="12.75">
      <c r="A241">
        <v>236</v>
      </c>
      <c r="B241" t="s">
        <v>3481</v>
      </c>
      <c r="C241" t="s">
        <v>3406</v>
      </c>
      <c r="D241" t="s">
        <v>2780</v>
      </c>
      <c r="E241" t="s">
        <v>2823</v>
      </c>
      <c r="F241" t="str">
        <f>"76/504"</f>
        <v>76/504</v>
      </c>
      <c r="G241" t="s">
        <v>3214</v>
      </c>
      <c r="H241" t="s">
        <v>3482</v>
      </c>
      <c r="I241">
        <v>34.55</v>
      </c>
    </row>
    <row r="242" spans="1:9" ht="12.75">
      <c r="A242">
        <v>237</v>
      </c>
      <c r="B242" t="s">
        <v>3483</v>
      </c>
      <c r="C242" t="s">
        <v>2966</v>
      </c>
      <c r="D242" t="s">
        <v>2780</v>
      </c>
      <c r="E242" t="s">
        <v>2818</v>
      </c>
      <c r="F242" t="str">
        <f>"18/307"</f>
        <v>18/307</v>
      </c>
      <c r="G242" t="s">
        <v>2804</v>
      </c>
      <c r="H242" t="s">
        <v>3484</v>
      </c>
      <c r="I242">
        <v>34.53</v>
      </c>
    </row>
    <row r="243" spans="1:9" ht="12.75">
      <c r="A243">
        <v>238</v>
      </c>
      <c r="B243" t="s">
        <v>3485</v>
      </c>
      <c r="C243" t="s">
        <v>2865</v>
      </c>
      <c r="D243" t="s">
        <v>2780</v>
      </c>
      <c r="E243" t="s">
        <v>2818</v>
      </c>
      <c r="F243" t="str">
        <f>"19/307"</f>
        <v>19/307</v>
      </c>
      <c r="G243" t="s">
        <v>3363</v>
      </c>
      <c r="H243" t="s">
        <v>3486</v>
      </c>
      <c r="I243">
        <v>34.52</v>
      </c>
    </row>
    <row r="244" spans="1:9" ht="12.75">
      <c r="A244">
        <v>239</v>
      </c>
      <c r="B244" t="s">
        <v>3487</v>
      </c>
      <c r="C244" t="s">
        <v>3488</v>
      </c>
      <c r="D244" t="s">
        <v>2780</v>
      </c>
      <c r="E244" t="s">
        <v>2818</v>
      </c>
      <c r="F244" t="str">
        <f>"20/307"</f>
        <v>20/307</v>
      </c>
      <c r="G244" t="s">
        <v>3489</v>
      </c>
      <c r="H244" t="s">
        <v>3490</v>
      </c>
      <c r="I244">
        <v>34.51</v>
      </c>
    </row>
    <row r="245" spans="1:9" ht="12.75">
      <c r="A245">
        <v>240</v>
      </c>
      <c r="B245" t="s">
        <v>3491</v>
      </c>
      <c r="C245" t="s">
        <v>2902</v>
      </c>
      <c r="D245" t="s">
        <v>2780</v>
      </c>
      <c r="E245" t="s">
        <v>2818</v>
      </c>
      <c r="F245" t="str">
        <f>"21/307"</f>
        <v>21/307</v>
      </c>
      <c r="G245" t="s">
        <v>3492</v>
      </c>
      <c r="H245" t="s">
        <v>3493</v>
      </c>
      <c r="I245">
        <v>34.5</v>
      </c>
    </row>
    <row r="246" spans="1:9" ht="12.75">
      <c r="A246">
        <v>241</v>
      </c>
      <c r="B246" t="s">
        <v>3494</v>
      </c>
      <c r="C246" t="s">
        <v>2807</v>
      </c>
      <c r="D246" t="s">
        <v>2780</v>
      </c>
      <c r="E246" t="s">
        <v>2823</v>
      </c>
      <c r="F246" t="str">
        <f>"77/504"</f>
        <v>77/504</v>
      </c>
      <c r="G246" t="s">
        <v>3495</v>
      </c>
      <c r="H246" t="s">
        <v>3496</v>
      </c>
      <c r="I246">
        <v>34.5</v>
      </c>
    </row>
    <row r="247" spans="1:9" ht="12.75">
      <c r="A247">
        <v>242</v>
      </c>
      <c r="B247" t="s">
        <v>3497</v>
      </c>
      <c r="C247" t="s">
        <v>2963</v>
      </c>
      <c r="D247" t="s">
        <v>2780</v>
      </c>
      <c r="E247" t="s">
        <v>2818</v>
      </c>
      <c r="F247" t="str">
        <f>"22/307"</f>
        <v>22/307</v>
      </c>
      <c r="G247" t="s">
        <v>3181</v>
      </c>
      <c r="H247" t="s">
        <v>3498</v>
      </c>
      <c r="I247">
        <v>34.49</v>
      </c>
    </row>
    <row r="248" spans="1:9" ht="12.75">
      <c r="A248">
        <v>243</v>
      </c>
      <c r="B248" t="s">
        <v>3499</v>
      </c>
      <c r="C248" t="s">
        <v>2966</v>
      </c>
      <c r="D248" t="s">
        <v>2780</v>
      </c>
      <c r="E248" t="s">
        <v>2781</v>
      </c>
      <c r="F248" t="str">
        <f>"79/329"</f>
        <v>79/329</v>
      </c>
      <c r="G248" t="s">
        <v>3500</v>
      </c>
      <c r="H248" t="s">
        <v>3501</v>
      </c>
      <c r="I248">
        <v>34.49</v>
      </c>
    </row>
    <row r="249" spans="1:9" ht="12.75">
      <c r="A249">
        <v>244</v>
      </c>
      <c r="B249" t="s">
        <v>3502</v>
      </c>
      <c r="C249" t="s">
        <v>2895</v>
      </c>
      <c r="D249" t="s">
        <v>2780</v>
      </c>
      <c r="E249" t="s">
        <v>2799</v>
      </c>
      <c r="F249" t="str">
        <f>"25/99"</f>
        <v>25/99</v>
      </c>
      <c r="G249" t="s">
        <v>3046</v>
      </c>
      <c r="H249" t="s">
        <v>3503</v>
      </c>
      <c r="I249">
        <v>34.49</v>
      </c>
    </row>
    <row r="250" spans="1:9" ht="12.75">
      <c r="A250">
        <v>245</v>
      </c>
      <c r="B250" t="s">
        <v>3227</v>
      </c>
      <c r="C250" t="s">
        <v>2857</v>
      </c>
      <c r="D250" t="s">
        <v>2780</v>
      </c>
      <c r="E250" t="s">
        <v>2781</v>
      </c>
      <c r="F250" t="str">
        <f>"80/329"</f>
        <v>80/329</v>
      </c>
      <c r="G250" t="s">
        <v>3018</v>
      </c>
      <c r="H250" t="s">
        <v>3504</v>
      </c>
      <c r="I250">
        <v>34.49</v>
      </c>
    </row>
    <row r="251" spans="1:9" ht="12.75">
      <c r="A251">
        <v>246</v>
      </c>
      <c r="B251" t="s">
        <v>3505</v>
      </c>
      <c r="C251" t="s">
        <v>3506</v>
      </c>
      <c r="D251" t="s">
        <v>2780</v>
      </c>
      <c r="E251" t="s">
        <v>2818</v>
      </c>
      <c r="F251" t="str">
        <f>"23/307"</f>
        <v>23/307</v>
      </c>
      <c r="G251" t="s">
        <v>3507</v>
      </c>
      <c r="H251" t="s">
        <v>3508</v>
      </c>
      <c r="I251">
        <v>34.49</v>
      </c>
    </row>
    <row r="252" spans="1:9" ht="12.75">
      <c r="A252">
        <v>247</v>
      </c>
      <c r="B252" t="s">
        <v>3509</v>
      </c>
      <c r="C252" t="s">
        <v>2865</v>
      </c>
      <c r="D252" t="s">
        <v>2780</v>
      </c>
      <c r="E252" t="s">
        <v>2823</v>
      </c>
      <c r="F252" t="str">
        <f>"78/504"</f>
        <v>78/504</v>
      </c>
      <c r="G252" t="s">
        <v>3492</v>
      </c>
      <c r="H252" t="s">
        <v>3510</v>
      </c>
      <c r="I252">
        <v>34.49</v>
      </c>
    </row>
    <row r="253" spans="1:9" ht="12.75">
      <c r="A253">
        <v>248</v>
      </c>
      <c r="B253" t="s">
        <v>3511</v>
      </c>
      <c r="C253" t="s">
        <v>2840</v>
      </c>
      <c r="D253" t="s">
        <v>2780</v>
      </c>
      <c r="E253" t="s">
        <v>2823</v>
      </c>
      <c r="F253" t="str">
        <f>"79/504"</f>
        <v>79/504</v>
      </c>
      <c r="G253" t="s">
        <v>3363</v>
      </c>
      <c r="H253" t="s">
        <v>3512</v>
      </c>
      <c r="I253">
        <v>34.49</v>
      </c>
    </row>
    <row r="254" spans="1:9" ht="12.75">
      <c r="A254">
        <v>249</v>
      </c>
      <c r="B254" t="s">
        <v>3513</v>
      </c>
      <c r="C254" t="s">
        <v>3141</v>
      </c>
      <c r="D254" t="s">
        <v>2780</v>
      </c>
      <c r="E254" t="s">
        <v>2823</v>
      </c>
      <c r="F254" t="str">
        <f>"80/504"</f>
        <v>80/504</v>
      </c>
      <c r="G254" t="s">
        <v>3148</v>
      </c>
      <c r="H254" t="s">
        <v>3512</v>
      </c>
      <c r="I254">
        <v>34.49</v>
      </c>
    </row>
    <row r="255" spans="1:9" ht="12.75">
      <c r="A255">
        <v>250</v>
      </c>
      <c r="B255" t="s">
        <v>3514</v>
      </c>
      <c r="C255" t="s">
        <v>3515</v>
      </c>
      <c r="D255" t="s">
        <v>3031</v>
      </c>
      <c r="E255" t="s">
        <v>3032</v>
      </c>
      <c r="F255" t="str">
        <f>"6/54"</f>
        <v>6/54</v>
      </c>
      <c r="G255" t="s">
        <v>3516</v>
      </c>
      <c r="H255" t="s">
        <v>3517</v>
      </c>
      <c r="I255">
        <v>34.48</v>
      </c>
    </row>
    <row r="256" spans="1:9" ht="12.75">
      <c r="A256">
        <v>251</v>
      </c>
      <c r="B256" t="s">
        <v>3065</v>
      </c>
      <c r="C256" t="s">
        <v>2868</v>
      </c>
      <c r="D256" t="s">
        <v>2780</v>
      </c>
      <c r="E256" t="s">
        <v>2818</v>
      </c>
      <c r="F256" t="str">
        <f>"24/307"</f>
        <v>24/307</v>
      </c>
      <c r="G256" t="s">
        <v>2889</v>
      </c>
      <c r="H256" t="s">
        <v>3518</v>
      </c>
      <c r="I256">
        <v>34.48</v>
      </c>
    </row>
    <row r="257" spans="1:9" ht="12.75">
      <c r="A257">
        <v>252</v>
      </c>
      <c r="B257" t="s">
        <v>3519</v>
      </c>
      <c r="C257" t="s">
        <v>3520</v>
      </c>
      <c r="D257" t="s">
        <v>3031</v>
      </c>
      <c r="E257" t="s">
        <v>3032</v>
      </c>
      <c r="F257" t="str">
        <f>"7/54"</f>
        <v>7/54</v>
      </c>
      <c r="G257" t="s">
        <v>3206</v>
      </c>
      <c r="H257" t="s">
        <v>3521</v>
      </c>
      <c r="I257">
        <v>34.47</v>
      </c>
    </row>
    <row r="258" spans="1:9" ht="12.75">
      <c r="A258">
        <v>253</v>
      </c>
      <c r="B258" t="s">
        <v>3522</v>
      </c>
      <c r="C258" t="s">
        <v>2865</v>
      </c>
      <c r="D258" t="s">
        <v>2780</v>
      </c>
      <c r="E258" t="s">
        <v>2799</v>
      </c>
      <c r="F258" t="str">
        <f>"26/99"</f>
        <v>26/99</v>
      </c>
      <c r="G258" t="s">
        <v>3523</v>
      </c>
      <c r="H258" t="s">
        <v>3524</v>
      </c>
      <c r="I258">
        <v>34.46</v>
      </c>
    </row>
    <row r="259" spans="1:9" ht="12.75">
      <c r="A259">
        <v>254</v>
      </c>
      <c r="B259" t="s">
        <v>3525</v>
      </c>
      <c r="C259" t="s">
        <v>3346</v>
      </c>
      <c r="D259" t="s">
        <v>2780</v>
      </c>
      <c r="E259" t="s">
        <v>2823</v>
      </c>
      <c r="F259" t="str">
        <f>"81/504"</f>
        <v>81/504</v>
      </c>
      <c r="G259" t="s">
        <v>2787</v>
      </c>
      <c r="H259" t="s">
        <v>3526</v>
      </c>
      <c r="I259">
        <v>34.46</v>
      </c>
    </row>
    <row r="260" spans="1:9" ht="12.75">
      <c r="A260">
        <v>255</v>
      </c>
      <c r="B260" t="s">
        <v>3527</v>
      </c>
      <c r="C260" t="s">
        <v>2807</v>
      </c>
      <c r="D260" t="s">
        <v>2780</v>
      </c>
      <c r="E260" t="s">
        <v>2823</v>
      </c>
      <c r="F260" t="str">
        <f>"82/504"</f>
        <v>82/504</v>
      </c>
      <c r="G260" t="s">
        <v>3528</v>
      </c>
      <c r="H260" t="s">
        <v>3529</v>
      </c>
      <c r="I260">
        <v>34.46</v>
      </c>
    </row>
    <row r="261" spans="1:9" ht="12.75">
      <c r="A261">
        <v>256</v>
      </c>
      <c r="B261" t="s">
        <v>3530</v>
      </c>
      <c r="C261" t="s">
        <v>2836</v>
      </c>
      <c r="D261" t="s">
        <v>2780</v>
      </c>
      <c r="E261" t="s">
        <v>2823</v>
      </c>
      <c r="F261" t="str">
        <f>"83/504"</f>
        <v>83/504</v>
      </c>
      <c r="G261" t="s">
        <v>2787</v>
      </c>
      <c r="H261" t="s">
        <v>3531</v>
      </c>
      <c r="I261">
        <v>34.46</v>
      </c>
    </row>
    <row r="262" spans="1:9" ht="12.75">
      <c r="A262">
        <v>257</v>
      </c>
      <c r="B262" t="s">
        <v>3532</v>
      </c>
      <c r="C262" t="s">
        <v>3438</v>
      </c>
      <c r="D262" t="s">
        <v>2780</v>
      </c>
      <c r="E262" t="s">
        <v>2781</v>
      </c>
      <c r="F262" t="str">
        <f>"81/329"</f>
        <v>81/329</v>
      </c>
      <c r="G262" t="s">
        <v>2896</v>
      </c>
      <c r="H262" t="s">
        <v>3533</v>
      </c>
      <c r="I262">
        <v>34.45</v>
      </c>
    </row>
    <row r="263" spans="1:9" ht="12.75">
      <c r="A263">
        <v>258</v>
      </c>
      <c r="B263" t="s">
        <v>3534</v>
      </c>
      <c r="C263" t="s">
        <v>3114</v>
      </c>
      <c r="D263" t="s">
        <v>2780</v>
      </c>
      <c r="E263" t="s">
        <v>2818</v>
      </c>
      <c r="F263" t="str">
        <f>"25/307"</f>
        <v>25/307</v>
      </c>
      <c r="G263" t="s">
        <v>3535</v>
      </c>
      <c r="H263" t="s">
        <v>3536</v>
      </c>
      <c r="I263">
        <v>34.43</v>
      </c>
    </row>
    <row r="264" spans="1:9" ht="12.75">
      <c r="A264">
        <v>259</v>
      </c>
      <c r="B264" t="s">
        <v>3537</v>
      </c>
      <c r="C264" t="s">
        <v>3417</v>
      </c>
      <c r="D264" t="s">
        <v>2780</v>
      </c>
      <c r="E264" t="s">
        <v>2823</v>
      </c>
      <c r="F264" t="str">
        <f>"84/504"</f>
        <v>84/504</v>
      </c>
      <c r="G264" t="s">
        <v>3202</v>
      </c>
      <c r="H264" t="s">
        <v>3538</v>
      </c>
      <c r="I264">
        <v>34.38</v>
      </c>
    </row>
    <row r="265" spans="1:9" ht="12.75">
      <c r="A265">
        <v>260</v>
      </c>
      <c r="B265" t="s">
        <v>3539</v>
      </c>
      <c r="C265" t="s">
        <v>2836</v>
      </c>
      <c r="D265" t="s">
        <v>2780</v>
      </c>
      <c r="E265" t="s">
        <v>2781</v>
      </c>
      <c r="F265" t="str">
        <f>"82/329"</f>
        <v>82/329</v>
      </c>
      <c r="G265" t="s">
        <v>3528</v>
      </c>
      <c r="H265" t="s">
        <v>3540</v>
      </c>
      <c r="I265">
        <v>34.37</v>
      </c>
    </row>
    <row r="266" spans="1:9" ht="12.75">
      <c r="A266">
        <v>261</v>
      </c>
      <c r="B266" t="s">
        <v>3541</v>
      </c>
      <c r="C266" t="s">
        <v>3542</v>
      </c>
      <c r="D266" t="s">
        <v>2780</v>
      </c>
      <c r="E266" t="s">
        <v>2823</v>
      </c>
      <c r="F266" t="str">
        <f>"85/504"</f>
        <v>85/504</v>
      </c>
      <c r="G266" t="s">
        <v>3543</v>
      </c>
      <c r="H266" t="s">
        <v>3544</v>
      </c>
      <c r="I266">
        <v>34.34</v>
      </c>
    </row>
    <row r="267" spans="1:9" ht="12.75">
      <c r="A267">
        <v>262</v>
      </c>
      <c r="B267" t="s">
        <v>3545</v>
      </c>
      <c r="C267" t="s">
        <v>2942</v>
      </c>
      <c r="D267" t="s">
        <v>2780</v>
      </c>
      <c r="E267" t="s">
        <v>2823</v>
      </c>
      <c r="F267" t="str">
        <f>"86/504"</f>
        <v>86/504</v>
      </c>
      <c r="G267" t="s">
        <v>3546</v>
      </c>
      <c r="H267" t="s">
        <v>3547</v>
      </c>
      <c r="I267">
        <v>34.29</v>
      </c>
    </row>
    <row r="268" spans="1:9" ht="12.75">
      <c r="A268">
        <v>263</v>
      </c>
      <c r="B268" t="s">
        <v>3548</v>
      </c>
      <c r="C268" t="s">
        <v>2966</v>
      </c>
      <c r="D268" t="s">
        <v>2780</v>
      </c>
      <c r="E268" t="s">
        <v>2799</v>
      </c>
      <c r="F268" t="str">
        <f>"27/99"</f>
        <v>27/99</v>
      </c>
      <c r="G268" t="s">
        <v>3549</v>
      </c>
      <c r="H268" t="s">
        <v>3550</v>
      </c>
      <c r="I268">
        <v>34.27</v>
      </c>
    </row>
    <row r="269" spans="1:9" ht="12.75">
      <c r="A269">
        <v>264</v>
      </c>
      <c r="B269" t="s">
        <v>3551</v>
      </c>
      <c r="C269" t="s">
        <v>3471</v>
      </c>
      <c r="D269" t="s">
        <v>2780</v>
      </c>
      <c r="E269" t="s">
        <v>2823</v>
      </c>
      <c r="F269" t="str">
        <f>"87/504"</f>
        <v>87/504</v>
      </c>
      <c r="G269" t="s">
        <v>3368</v>
      </c>
      <c r="H269" t="s">
        <v>3552</v>
      </c>
      <c r="I269">
        <v>34.22</v>
      </c>
    </row>
    <row r="270" spans="1:9" ht="12.75">
      <c r="A270">
        <v>265</v>
      </c>
      <c r="B270" t="s">
        <v>3553</v>
      </c>
      <c r="C270" t="s">
        <v>3554</v>
      </c>
      <c r="D270" t="s">
        <v>2780</v>
      </c>
      <c r="E270" t="s">
        <v>2818</v>
      </c>
      <c r="F270" t="str">
        <f>"26/307"</f>
        <v>26/307</v>
      </c>
      <c r="G270" t="s">
        <v>3555</v>
      </c>
      <c r="H270" t="s">
        <v>3556</v>
      </c>
      <c r="I270">
        <v>34.21</v>
      </c>
    </row>
    <row r="271" spans="1:9" ht="12.75">
      <c r="A271">
        <v>266</v>
      </c>
      <c r="B271" t="s">
        <v>3378</v>
      </c>
      <c r="C271" t="s">
        <v>2895</v>
      </c>
      <c r="D271" t="s">
        <v>2780</v>
      </c>
      <c r="E271" t="s">
        <v>2786</v>
      </c>
      <c r="F271" t="str">
        <f>"22/58"</f>
        <v>22/58</v>
      </c>
      <c r="G271" t="s">
        <v>3557</v>
      </c>
      <c r="H271" t="s">
        <v>3558</v>
      </c>
      <c r="I271">
        <v>34.2</v>
      </c>
    </row>
    <row r="272" spans="1:9" ht="12.75">
      <c r="A272">
        <v>267</v>
      </c>
      <c r="B272" t="s">
        <v>3559</v>
      </c>
      <c r="C272" t="s">
        <v>3560</v>
      </c>
      <c r="D272" t="s">
        <v>2780</v>
      </c>
      <c r="E272" t="s">
        <v>2823</v>
      </c>
      <c r="F272" t="str">
        <f>"88/504"</f>
        <v>88/504</v>
      </c>
      <c r="G272" t="s">
        <v>3561</v>
      </c>
      <c r="H272" t="s">
        <v>3562</v>
      </c>
      <c r="I272">
        <v>34.19</v>
      </c>
    </row>
    <row r="273" spans="1:9" ht="12.75">
      <c r="A273">
        <v>268</v>
      </c>
      <c r="B273" t="s">
        <v>3563</v>
      </c>
      <c r="C273" t="s">
        <v>2868</v>
      </c>
      <c r="D273" t="s">
        <v>2780</v>
      </c>
      <c r="E273" t="s">
        <v>2799</v>
      </c>
      <c r="F273" t="str">
        <f>"28/99"</f>
        <v>28/99</v>
      </c>
      <c r="G273" t="s">
        <v>2844</v>
      </c>
      <c r="H273" t="s">
        <v>3564</v>
      </c>
      <c r="I273">
        <v>34.19</v>
      </c>
    </row>
    <row r="274" spans="1:9" ht="12.75">
      <c r="A274">
        <v>269</v>
      </c>
      <c r="B274" t="s">
        <v>3565</v>
      </c>
      <c r="C274" t="s">
        <v>3174</v>
      </c>
      <c r="D274" t="s">
        <v>2780</v>
      </c>
      <c r="E274" t="s">
        <v>2781</v>
      </c>
      <c r="F274" t="str">
        <f>"83/329"</f>
        <v>83/329</v>
      </c>
      <c r="G274" t="s">
        <v>2844</v>
      </c>
      <c r="H274" t="s">
        <v>3566</v>
      </c>
      <c r="I274">
        <v>34.18</v>
      </c>
    </row>
    <row r="275" spans="1:9" ht="12.75">
      <c r="A275">
        <v>270</v>
      </c>
      <c r="B275" t="s">
        <v>3567</v>
      </c>
      <c r="C275" t="s">
        <v>2895</v>
      </c>
      <c r="D275" t="s">
        <v>2780</v>
      </c>
      <c r="E275" t="s">
        <v>2823</v>
      </c>
      <c r="F275" t="str">
        <f>"89/504"</f>
        <v>89/504</v>
      </c>
      <c r="G275" t="s">
        <v>3315</v>
      </c>
      <c r="H275" t="s">
        <v>3568</v>
      </c>
      <c r="I275">
        <v>34.15</v>
      </c>
    </row>
    <row r="276" spans="1:9" ht="12.75">
      <c r="A276">
        <v>271</v>
      </c>
      <c r="B276" t="s">
        <v>3569</v>
      </c>
      <c r="C276" t="s">
        <v>3438</v>
      </c>
      <c r="D276" t="s">
        <v>2780</v>
      </c>
      <c r="E276" t="s">
        <v>2781</v>
      </c>
      <c r="F276" t="str">
        <f>"84/329"</f>
        <v>84/329</v>
      </c>
      <c r="G276" t="s">
        <v>3570</v>
      </c>
      <c r="H276" t="s">
        <v>3571</v>
      </c>
      <c r="I276">
        <v>34.14</v>
      </c>
    </row>
    <row r="277" spans="1:9" ht="12.75">
      <c r="A277">
        <v>272</v>
      </c>
      <c r="B277" t="s">
        <v>3572</v>
      </c>
      <c r="C277" t="s">
        <v>3573</v>
      </c>
      <c r="D277" t="s">
        <v>2780</v>
      </c>
      <c r="E277" t="s">
        <v>2781</v>
      </c>
      <c r="F277" t="str">
        <f>"85/329"</f>
        <v>85/329</v>
      </c>
      <c r="G277" t="s">
        <v>2896</v>
      </c>
      <c r="H277" t="s">
        <v>3574</v>
      </c>
      <c r="I277">
        <v>34.14</v>
      </c>
    </row>
    <row r="278" spans="1:9" ht="12.75">
      <c r="A278">
        <v>273</v>
      </c>
      <c r="B278" t="s">
        <v>3575</v>
      </c>
      <c r="C278" t="s">
        <v>3576</v>
      </c>
      <c r="D278" t="s">
        <v>2780</v>
      </c>
      <c r="E278" t="s">
        <v>2781</v>
      </c>
      <c r="F278" t="str">
        <f>"86/329"</f>
        <v>86/329</v>
      </c>
      <c r="G278" t="s">
        <v>3577</v>
      </c>
      <c r="H278" t="s">
        <v>3578</v>
      </c>
      <c r="I278">
        <v>34.13</v>
      </c>
    </row>
    <row r="279" spans="1:9" ht="12.75">
      <c r="A279">
        <v>274</v>
      </c>
      <c r="B279" t="s">
        <v>3579</v>
      </c>
      <c r="C279" t="s">
        <v>3580</v>
      </c>
      <c r="D279" t="s">
        <v>2780</v>
      </c>
      <c r="E279" t="s">
        <v>2781</v>
      </c>
      <c r="F279" t="str">
        <f>"87/329"</f>
        <v>87/329</v>
      </c>
      <c r="G279" t="s">
        <v>3079</v>
      </c>
      <c r="H279" t="s">
        <v>3581</v>
      </c>
      <c r="I279">
        <v>34.12</v>
      </c>
    </row>
    <row r="280" spans="1:9" ht="12.75">
      <c r="A280">
        <v>275</v>
      </c>
      <c r="B280" t="s">
        <v>3511</v>
      </c>
      <c r="C280" t="s">
        <v>3292</v>
      </c>
      <c r="D280" t="s">
        <v>2780</v>
      </c>
      <c r="E280" t="s">
        <v>2781</v>
      </c>
      <c r="F280" t="str">
        <f>"88/329"</f>
        <v>88/329</v>
      </c>
      <c r="G280" t="s">
        <v>3022</v>
      </c>
      <c r="H280" t="s">
        <v>3582</v>
      </c>
      <c r="I280">
        <v>34.12</v>
      </c>
    </row>
    <row r="281" spans="1:9" ht="12.75">
      <c r="A281">
        <v>276</v>
      </c>
      <c r="B281" t="s">
        <v>3583</v>
      </c>
      <c r="C281" t="s">
        <v>2857</v>
      </c>
      <c r="D281" t="s">
        <v>2780</v>
      </c>
      <c r="E281" t="s">
        <v>2818</v>
      </c>
      <c r="F281" t="str">
        <f>"27/307"</f>
        <v>27/307</v>
      </c>
      <c r="G281" t="s">
        <v>3584</v>
      </c>
      <c r="H281" t="s">
        <v>3585</v>
      </c>
      <c r="I281">
        <v>34.11</v>
      </c>
    </row>
    <row r="282" spans="1:9" ht="12.75">
      <c r="A282">
        <v>277</v>
      </c>
      <c r="B282" t="s">
        <v>3586</v>
      </c>
      <c r="C282" t="s">
        <v>2895</v>
      </c>
      <c r="D282" t="s">
        <v>2780</v>
      </c>
      <c r="E282" t="s">
        <v>2781</v>
      </c>
      <c r="F282" t="str">
        <f>"89/329"</f>
        <v>89/329</v>
      </c>
      <c r="G282" t="s">
        <v>3587</v>
      </c>
      <c r="H282" t="s">
        <v>3588</v>
      </c>
      <c r="I282">
        <v>34.1</v>
      </c>
    </row>
    <row r="283" spans="1:9" ht="12.75">
      <c r="A283">
        <v>278</v>
      </c>
      <c r="B283" t="s">
        <v>3272</v>
      </c>
      <c r="C283" t="s">
        <v>3123</v>
      </c>
      <c r="D283" t="s">
        <v>2780</v>
      </c>
      <c r="E283" t="s">
        <v>2799</v>
      </c>
      <c r="F283" t="str">
        <f>"29/99"</f>
        <v>29/99</v>
      </c>
      <c r="G283" t="s">
        <v>3589</v>
      </c>
      <c r="H283" t="s">
        <v>3590</v>
      </c>
      <c r="I283">
        <v>34.1</v>
      </c>
    </row>
    <row r="284" spans="1:9" ht="12.75">
      <c r="A284">
        <v>279</v>
      </c>
      <c r="B284" t="s">
        <v>3591</v>
      </c>
      <c r="C284" t="s">
        <v>3045</v>
      </c>
      <c r="D284" t="s">
        <v>2780</v>
      </c>
      <c r="E284" t="s">
        <v>2781</v>
      </c>
      <c r="F284" t="str">
        <f>"90/329"</f>
        <v>90/329</v>
      </c>
      <c r="G284" t="s">
        <v>3022</v>
      </c>
      <c r="H284" t="s">
        <v>3592</v>
      </c>
      <c r="I284">
        <v>34.09</v>
      </c>
    </row>
    <row r="285" spans="1:9" ht="12.75">
      <c r="A285">
        <v>280</v>
      </c>
      <c r="B285" t="s">
        <v>3593</v>
      </c>
      <c r="C285" t="s">
        <v>3594</v>
      </c>
      <c r="D285" t="s">
        <v>2780</v>
      </c>
      <c r="E285" t="s">
        <v>2823</v>
      </c>
      <c r="F285" t="str">
        <f>"90/504"</f>
        <v>90/504</v>
      </c>
      <c r="G285" t="s">
        <v>3046</v>
      </c>
      <c r="H285" t="s">
        <v>3592</v>
      </c>
      <c r="I285">
        <v>34.09</v>
      </c>
    </row>
    <row r="286" spans="1:9" ht="12.75">
      <c r="A286">
        <v>281</v>
      </c>
      <c r="B286" t="s">
        <v>3595</v>
      </c>
      <c r="C286" t="s">
        <v>3098</v>
      </c>
      <c r="D286" t="s">
        <v>2780</v>
      </c>
      <c r="E286" t="s">
        <v>2823</v>
      </c>
      <c r="F286" t="str">
        <f>"91/504"</f>
        <v>91/504</v>
      </c>
      <c r="G286" t="s">
        <v>3046</v>
      </c>
      <c r="H286" t="s">
        <v>3596</v>
      </c>
      <c r="I286">
        <v>34.09</v>
      </c>
    </row>
    <row r="287" spans="1:9" ht="12.75">
      <c r="A287">
        <v>282</v>
      </c>
      <c r="B287" t="s">
        <v>3597</v>
      </c>
      <c r="C287" t="s">
        <v>3598</v>
      </c>
      <c r="D287" t="s">
        <v>2780</v>
      </c>
      <c r="E287" t="s">
        <v>2818</v>
      </c>
      <c r="F287" t="str">
        <f>"28/307"</f>
        <v>28/307</v>
      </c>
      <c r="G287" t="s">
        <v>3022</v>
      </c>
      <c r="H287" t="s">
        <v>3599</v>
      </c>
      <c r="I287">
        <v>34.09</v>
      </c>
    </row>
    <row r="288" spans="1:9" ht="12.75">
      <c r="A288">
        <v>283</v>
      </c>
      <c r="B288" t="s">
        <v>3600</v>
      </c>
      <c r="C288" t="s">
        <v>2814</v>
      </c>
      <c r="D288" t="s">
        <v>2780</v>
      </c>
      <c r="E288" t="s">
        <v>2823</v>
      </c>
      <c r="F288" t="str">
        <f>"92/504"</f>
        <v>92/504</v>
      </c>
      <c r="G288" t="s">
        <v>3543</v>
      </c>
      <c r="H288" t="s">
        <v>3601</v>
      </c>
      <c r="I288">
        <v>34.09</v>
      </c>
    </row>
    <row r="289" spans="1:9" ht="12.75">
      <c r="A289">
        <v>284</v>
      </c>
      <c r="B289" t="s">
        <v>3602</v>
      </c>
      <c r="C289" t="s">
        <v>3417</v>
      </c>
      <c r="D289" t="s">
        <v>2780</v>
      </c>
      <c r="E289" t="s">
        <v>2823</v>
      </c>
      <c r="F289" t="str">
        <f>"93/504"</f>
        <v>93/504</v>
      </c>
      <c r="G289" t="s">
        <v>3603</v>
      </c>
      <c r="H289" t="s">
        <v>3604</v>
      </c>
      <c r="I289">
        <v>34.08</v>
      </c>
    </row>
    <row r="290" spans="1:9" ht="12.75">
      <c r="A290">
        <v>285</v>
      </c>
      <c r="B290" t="s">
        <v>3605</v>
      </c>
      <c r="C290" t="s">
        <v>2966</v>
      </c>
      <c r="D290" t="s">
        <v>2780</v>
      </c>
      <c r="E290" t="s">
        <v>2786</v>
      </c>
      <c r="F290" t="str">
        <f>"23/58"</f>
        <v>23/58</v>
      </c>
      <c r="G290" t="s">
        <v>3176</v>
      </c>
      <c r="H290" t="s">
        <v>3606</v>
      </c>
      <c r="I290">
        <v>34.07</v>
      </c>
    </row>
    <row r="291" spans="1:9" ht="12.75">
      <c r="A291">
        <v>286</v>
      </c>
      <c r="B291" t="s">
        <v>3607</v>
      </c>
      <c r="C291" t="s">
        <v>3123</v>
      </c>
      <c r="D291" t="s">
        <v>2780</v>
      </c>
      <c r="E291" t="s">
        <v>2818</v>
      </c>
      <c r="F291" t="str">
        <f>"29/307"</f>
        <v>29/307</v>
      </c>
      <c r="G291" t="s">
        <v>3456</v>
      </c>
      <c r="H291" t="s">
        <v>3608</v>
      </c>
      <c r="I291">
        <v>34.06</v>
      </c>
    </row>
    <row r="292" spans="1:9" ht="12.75">
      <c r="A292">
        <v>287</v>
      </c>
      <c r="B292" t="s">
        <v>3609</v>
      </c>
      <c r="C292" t="s">
        <v>2836</v>
      </c>
      <c r="D292" t="s">
        <v>2780</v>
      </c>
      <c r="E292" t="s">
        <v>2818</v>
      </c>
      <c r="F292" t="str">
        <f>"30/307"</f>
        <v>30/307</v>
      </c>
      <c r="G292" t="s">
        <v>2974</v>
      </c>
      <c r="H292" t="s">
        <v>3610</v>
      </c>
      <c r="I292">
        <v>34.06</v>
      </c>
    </row>
    <row r="293" spans="1:9" ht="12.75">
      <c r="A293">
        <v>288</v>
      </c>
      <c r="B293" t="s">
        <v>3563</v>
      </c>
      <c r="C293" t="s">
        <v>3008</v>
      </c>
      <c r="D293" t="s">
        <v>2780</v>
      </c>
      <c r="E293" t="s">
        <v>2823</v>
      </c>
      <c r="F293" t="str">
        <f>"94/504"</f>
        <v>94/504</v>
      </c>
      <c r="G293" t="s">
        <v>2844</v>
      </c>
      <c r="H293" t="s">
        <v>3611</v>
      </c>
      <c r="I293">
        <v>34.06</v>
      </c>
    </row>
    <row r="294" spans="1:9" ht="12.75">
      <c r="A294">
        <v>289</v>
      </c>
      <c r="B294" t="s">
        <v>3612</v>
      </c>
      <c r="C294" t="s">
        <v>3464</v>
      </c>
      <c r="D294" t="s">
        <v>2780</v>
      </c>
      <c r="E294" t="s">
        <v>2823</v>
      </c>
      <c r="F294" t="str">
        <f>"95/504"</f>
        <v>95/504</v>
      </c>
      <c r="G294" t="s">
        <v>2844</v>
      </c>
      <c r="H294" t="s">
        <v>3613</v>
      </c>
      <c r="I294">
        <v>34.05</v>
      </c>
    </row>
    <row r="295" spans="1:9" ht="12.75">
      <c r="A295">
        <v>290</v>
      </c>
      <c r="B295" t="s">
        <v>3614</v>
      </c>
      <c r="C295" t="s">
        <v>3615</v>
      </c>
      <c r="D295" t="s">
        <v>2780</v>
      </c>
      <c r="E295" t="s">
        <v>2823</v>
      </c>
      <c r="F295" t="str">
        <f>"96/504"</f>
        <v>96/504</v>
      </c>
      <c r="G295" t="s">
        <v>2920</v>
      </c>
      <c r="H295" t="s">
        <v>3616</v>
      </c>
      <c r="I295">
        <v>34.04</v>
      </c>
    </row>
    <row r="296" spans="1:9" ht="12.75">
      <c r="A296">
        <v>291</v>
      </c>
      <c r="B296" t="s">
        <v>3617</v>
      </c>
      <c r="C296" t="s">
        <v>2836</v>
      </c>
      <c r="D296" t="s">
        <v>2780</v>
      </c>
      <c r="E296" t="s">
        <v>2781</v>
      </c>
      <c r="F296" t="str">
        <f>"91/329"</f>
        <v>91/329</v>
      </c>
      <c r="G296" t="s">
        <v>3618</v>
      </c>
      <c r="H296" t="s">
        <v>3619</v>
      </c>
      <c r="I296">
        <v>34.04</v>
      </c>
    </row>
    <row r="297" spans="1:9" ht="12.75">
      <c r="A297">
        <v>292</v>
      </c>
      <c r="B297" t="s">
        <v>3620</v>
      </c>
      <c r="C297" t="s">
        <v>2814</v>
      </c>
      <c r="D297" t="s">
        <v>2780</v>
      </c>
      <c r="E297" t="s">
        <v>2781</v>
      </c>
      <c r="F297" t="str">
        <f>"92/329"</f>
        <v>92/329</v>
      </c>
      <c r="G297" t="s">
        <v>3587</v>
      </c>
      <c r="H297" t="s">
        <v>3621</v>
      </c>
      <c r="I297">
        <v>34.04</v>
      </c>
    </row>
    <row r="298" spans="1:9" ht="12.75">
      <c r="A298">
        <v>293</v>
      </c>
      <c r="B298" t="s">
        <v>3622</v>
      </c>
      <c r="C298" t="s">
        <v>3346</v>
      </c>
      <c r="D298" t="s">
        <v>2780</v>
      </c>
      <c r="E298" t="s">
        <v>2823</v>
      </c>
      <c r="F298" t="str">
        <f>"97/504"</f>
        <v>97/504</v>
      </c>
      <c r="G298" t="s">
        <v>3198</v>
      </c>
      <c r="H298" t="s">
        <v>3623</v>
      </c>
      <c r="I298">
        <v>34.03</v>
      </c>
    </row>
    <row r="299" spans="1:9" ht="12.75">
      <c r="A299">
        <v>294</v>
      </c>
      <c r="B299" t="s">
        <v>3624</v>
      </c>
      <c r="C299" t="s">
        <v>3625</v>
      </c>
      <c r="D299" t="s">
        <v>2780</v>
      </c>
      <c r="E299" t="s">
        <v>2818</v>
      </c>
      <c r="F299" t="str">
        <f>"31/307"</f>
        <v>31/307</v>
      </c>
      <c r="G299" t="s">
        <v>2844</v>
      </c>
      <c r="H299" t="s">
        <v>3626</v>
      </c>
      <c r="I299">
        <v>34.03</v>
      </c>
    </row>
    <row r="300" spans="1:9" ht="12.75">
      <c r="A300">
        <v>295</v>
      </c>
      <c r="B300" t="s">
        <v>3627</v>
      </c>
      <c r="C300" t="s">
        <v>3560</v>
      </c>
      <c r="D300" t="s">
        <v>2780</v>
      </c>
      <c r="E300" t="s">
        <v>2786</v>
      </c>
      <c r="F300" t="str">
        <f>"24/58"</f>
        <v>24/58</v>
      </c>
      <c r="G300" t="s">
        <v>3628</v>
      </c>
      <c r="H300" t="s">
        <v>3629</v>
      </c>
      <c r="I300">
        <v>34.03</v>
      </c>
    </row>
    <row r="301" spans="1:9" ht="12.75">
      <c r="A301">
        <v>296</v>
      </c>
      <c r="B301" t="s">
        <v>3630</v>
      </c>
      <c r="C301" t="s">
        <v>3438</v>
      </c>
      <c r="D301" t="s">
        <v>2780</v>
      </c>
      <c r="E301" t="s">
        <v>2823</v>
      </c>
      <c r="F301" t="str">
        <f>"98/504"</f>
        <v>98/504</v>
      </c>
      <c r="G301" t="s">
        <v>3018</v>
      </c>
      <c r="H301" t="s">
        <v>3631</v>
      </c>
      <c r="I301">
        <v>34.02</v>
      </c>
    </row>
    <row r="302" spans="1:9" ht="12.75">
      <c r="A302">
        <v>297</v>
      </c>
      <c r="B302" t="s">
        <v>3632</v>
      </c>
      <c r="C302" t="s">
        <v>3633</v>
      </c>
      <c r="D302" t="s">
        <v>2780</v>
      </c>
      <c r="E302" t="s">
        <v>2823</v>
      </c>
      <c r="F302" t="str">
        <f>"99/504"</f>
        <v>99/504</v>
      </c>
      <c r="G302" t="s">
        <v>3088</v>
      </c>
      <c r="H302" t="s">
        <v>3634</v>
      </c>
      <c r="I302">
        <v>34.02</v>
      </c>
    </row>
    <row r="303" spans="1:9" ht="12.75">
      <c r="A303">
        <v>298</v>
      </c>
      <c r="B303" t="s">
        <v>3635</v>
      </c>
      <c r="C303" t="s">
        <v>3045</v>
      </c>
      <c r="D303" t="s">
        <v>2780</v>
      </c>
      <c r="E303" t="s">
        <v>2973</v>
      </c>
      <c r="F303" t="str">
        <f>"10/167"</f>
        <v>10/167</v>
      </c>
      <c r="G303" t="s">
        <v>2844</v>
      </c>
      <c r="H303" t="s">
        <v>3636</v>
      </c>
      <c r="I303">
        <v>34.01</v>
      </c>
    </row>
    <row r="304" spans="1:9" ht="12.75">
      <c r="A304">
        <v>299</v>
      </c>
      <c r="B304" t="s">
        <v>3637</v>
      </c>
      <c r="C304" t="s">
        <v>2807</v>
      </c>
      <c r="D304" t="s">
        <v>2780</v>
      </c>
      <c r="E304" t="s">
        <v>2823</v>
      </c>
      <c r="F304" t="str">
        <f>"100/504"</f>
        <v>100/504</v>
      </c>
      <c r="G304" t="s">
        <v>2883</v>
      </c>
      <c r="H304" t="s">
        <v>3638</v>
      </c>
      <c r="I304">
        <v>34</v>
      </c>
    </row>
    <row r="305" spans="1:9" ht="12.75">
      <c r="A305">
        <v>300</v>
      </c>
      <c r="B305" t="s">
        <v>3639</v>
      </c>
      <c r="C305" t="s">
        <v>3464</v>
      </c>
      <c r="D305" t="s">
        <v>2780</v>
      </c>
      <c r="E305" t="s">
        <v>2781</v>
      </c>
      <c r="F305" t="str">
        <f>"93/329"</f>
        <v>93/329</v>
      </c>
      <c r="G305" t="s">
        <v>3640</v>
      </c>
      <c r="H305" t="s">
        <v>3641</v>
      </c>
      <c r="I305">
        <v>33.99</v>
      </c>
    </row>
    <row r="306" spans="1:9" ht="12.75">
      <c r="A306">
        <v>301</v>
      </c>
      <c r="B306" t="s">
        <v>3642</v>
      </c>
      <c r="C306" t="s">
        <v>3174</v>
      </c>
      <c r="D306" t="s">
        <v>2780</v>
      </c>
      <c r="E306" t="s">
        <v>2781</v>
      </c>
      <c r="F306" t="str">
        <f>"94/329"</f>
        <v>94/329</v>
      </c>
      <c r="G306" t="s">
        <v>2787</v>
      </c>
      <c r="H306" t="s">
        <v>3643</v>
      </c>
      <c r="I306">
        <v>33.99</v>
      </c>
    </row>
    <row r="307" spans="1:9" ht="12.75">
      <c r="A307">
        <v>302</v>
      </c>
      <c r="B307" t="s">
        <v>3644</v>
      </c>
      <c r="C307" t="s">
        <v>3464</v>
      </c>
      <c r="D307" t="s">
        <v>2780</v>
      </c>
      <c r="E307" t="s">
        <v>2781</v>
      </c>
      <c r="F307" t="str">
        <f>"95/329"</f>
        <v>95/329</v>
      </c>
      <c r="G307" t="s">
        <v>2844</v>
      </c>
      <c r="H307" t="s">
        <v>3645</v>
      </c>
      <c r="I307">
        <v>33.98</v>
      </c>
    </row>
    <row r="308" spans="1:9" ht="12.75">
      <c r="A308">
        <v>303</v>
      </c>
      <c r="B308" t="s">
        <v>3646</v>
      </c>
      <c r="C308" t="s">
        <v>3387</v>
      </c>
      <c r="D308" t="s">
        <v>2780</v>
      </c>
      <c r="E308" t="s">
        <v>2823</v>
      </c>
      <c r="F308" t="str">
        <f>"101/504"</f>
        <v>101/504</v>
      </c>
      <c r="G308" t="s">
        <v>2920</v>
      </c>
      <c r="H308" t="s">
        <v>3647</v>
      </c>
      <c r="I308">
        <v>33.98</v>
      </c>
    </row>
    <row r="309" spans="1:9" ht="12.75">
      <c r="A309">
        <v>304</v>
      </c>
      <c r="B309" t="s">
        <v>3648</v>
      </c>
      <c r="C309" t="s">
        <v>3114</v>
      </c>
      <c r="D309" t="s">
        <v>2780</v>
      </c>
      <c r="E309" t="s">
        <v>2823</v>
      </c>
      <c r="F309" t="str">
        <f>"102/504"</f>
        <v>102/504</v>
      </c>
      <c r="G309" t="s">
        <v>3649</v>
      </c>
      <c r="H309" t="s">
        <v>3650</v>
      </c>
      <c r="I309">
        <v>33.93</v>
      </c>
    </row>
    <row r="310" spans="1:9" ht="12.75">
      <c r="A310">
        <v>305</v>
      </c>
      <c r="B310" t="s">
        <v>3651</v>
      </c>
      <c r="C310" t="s">
        <v>3652</v>
      </c>
      <c r="D310" t="s">
        <v>2780</v>
      </c>
      <c r="E310" t="s">
        <v>2818</v>
      </c>
      <c r="F310" t="str">
        <f>"32/307"</f>
        <v>32/307</v>
      </c>
      <c r="G310" t="s">
        <v>3206</v>
      </c>
      <c r="H310" t="s">
        <v>3653</v>
      </c>
      <c r="I310">
        <v>33.93</v>
      </c>
    </row>
    <row r="311" spans="1:9" ht="12.75">
      <c r="A311">
        <v>306</v>
      </c>
      <c r="B311" t="s">
        <v>3654</v>
      </c>
      <c r="C311" t="s">
        <v>3655</v>
      </c>
      <c r="D311" t="s">
        <v>2780</v>
      </c>
      <c r="E311" t="s">
        <v>2799</v>
      </c>
      <c r="F311" t="str">
        <f>"30/99"</f>
        <v>30/99</v>
      </c>
      <c r="G311" t="s">
        <v>3656</v>
      </c>
      <c r="H311" t="s">
        <v>3657</v>
      </c>
      <c r="I311">
        <v>33.92</v>
      </c>
    </row>
    <row r="312" spans="1:9" ht="12.75">
      <c r="A312">
        <v>307</v>
      </c>
      <c r="B312" t="s">
        <v>3658</v>
      </c>
      <c r="C312" t="s">
        <v>3123</v>
      </c>
      <c r="D312" t="s">
        <v>2780</v>
      </c>
      <c r="E312" t="s">
        <v>2823</v>
      </c>
      <c r="F312" t="str">
        <f>"103/504"</f>
        <v>103/504</v>
      </c>
      <c r="G312" t="s">
        <v>2844</v>
      </c>
      <c r="H312" t="s">
        <v>3659</v>
      </c>
      <c r="I312">
        <v>33.92</v>
      </c>
    </row>
    <row r="313" spans="1:9" ht="12.75">
      <c r="A313">
        <v>308</v>
      </c>
      <c r="B313" t="s">
        <v>3345</v>
      </c>
      <c r="C313" t="s">
        <v>2895</v>
      </c>
      <c r="D313" t="s">
        <v>2780</v>
      </c>
      <c r="E313" t="s">
        <v>2799</v>
      </c>
      <c r="F313" t="str">
        <f>"31/99"</f>
        <v>31/99</v>
      </c>
      <c r="G313" t="s">
        <v>3347</v>
      </c>
      <c r="H313" t="s">
        <v>3660</v>
      </c>
      <c r="I313">
        <v>33.89</v>
      </c>
    </row>
    <row r="314" spans="1:9" ht="12.75">
      <c r="A314">
        <v>309</v>
      </c>
      <c r="B314" t="s">
        <v>3661</v>
      </c>
      <c r="C314" t="s">
        <v>2942</v>
      </c>
      <c r="D314" t="s">
        <v>2780</v>
      </c>
      <c r="E314" t="s">
        <v>2818</v>
      </c>
      <c r="F314" t="str">
        <f>"33/307"</f>
        <v>33/307</v>
      </c>
      <c r="G314" t="s">
        <v>3662</v>
      </c>
      <c r="H314" t="s">
        <v>3663</v>
      </c>
      <c r="I314">
        <v>33.88</v>
      </c>
    </row>
    <row r="315" spans="1:9" ht="12.75">
      <c r="A315">
        <v>310</v>
      </c>
      <c r="B315" t="s">
        <v>3664</v>
      </c>
      <c r="C315" t="s">
        <v>3665</v>
      </c>
      <c r="D315" t="s">
        <v>2780</v>
      </c>
      <c r="E315" t="s">
        <v>2781</v>
      </c>
      <c r="F315" t="str">
        <f>"96/329"</f>
        <v>96/329</v>
      </c>
      <c r="G315" t="s">
        <v>2889</v>
      </c>
      <c r="H315" t="s">
        <v>3666</v>
      </c>
      <c r="I315">
        <v>33.85</v>
      </c>
    </row>
    <row r="316" spans="1:9" ht="12.75">
      <c r="A316">
        <v>311</v>
      </c>
      <c r="B316" t="s">
        <v>3667</v>
      </c>
      <c r="C316" t="s">
        <v>3668</v>
      </c>
      <c r="D316" t="s">
        <v>2780</v>
      </c>
      <c r="E316" t="s">
        <v>2823</v>
      </c>
      <c r="F316" t="str">
        <f>"104/504"</f>
        <v>104/504</v>
      </c>
      <c r="G316" t="s">
        <v>3018</v>
      </c>
      <c r="H316" t="s">
        <v>3669</v>
      </c>
      <c r="I316">
        <v>33.85</v>
      </c>
    </row>
    <row r="317" spans="1:9" ht="12.75">
      <c r="A317">
        <v>312</v>
      </c>
      <c r="B317" t="s">
        <v>3670</v>
      </c>
      <c r="C317" t="s">
        <v>3108</v>
      </c>
      <c r="D317" t="s">
        <v>2780</v>
      </c>
      <c r="E317" t="s">
        <v>2818</v>
      </c>
      <c r="F317" t="str">
        <f>"34/307"</f>
        <v>34/307</v>
      </c>
      <c r="G317" t="s">
        <v>3418</v>
      </c>
      <c r="H317" t="s">
        <v>3671</v>
      </c>
      <c r="I317">
        <v>33.84</v>
      </c>
    </row>
    <row r="318" spans="1:9" ht="12.75">
      <c r="A318">
        <v>313</v>
      </c>
      <c r="B318" t="s">
        <v>3672</v>
      </c>
      <c r="C318" t="s">
        <v>3164</v>
      </c>
      <c r="D318" t="s">
        <v>2780</v>
      </c>
      <c r="E318" t="s">
        <v>2818</v>
      </c>
      <c r="F318" t="str">
        <f>"35/307"</f>
        <v>35/307</v>
      </c>
      <c r="G318" t="s">
        <v>3673</v>
      </c>
      <c r="H318" t="s">
        <v>3674</v>
      </c>
      <c r="I318">
        <v>33.84</v>
      </c>
    </row>
    <row r="319" spans="1:9" ht="12.75">
      <c r="A319">
        <v>314</v>
      </c>
      <c r="B319" t="s">
        <v>3675</v>
      </c>
      <c r="C319" t="s">
        <v>2857</v>
      </c>
      <c r="D319" t="s">
        <v>2780</v>
      </c>
      <c r="E319" t="s">
        <v>2781</v>
      </c>
      <c r="F319" t="str">
        <f>"97/329"</f>
        <v>97/329</v>
      </c>
      <c r="G319" t="s">
        <v>2787</v>
      </c>
      <c r="H319" t="s">
        <v>3676</v>
      </c>
      <c r="I319">
        <v>33.83</v>
      </c>
    </row>
    <row r="320" spans="1:9" ht="12.75">
      <c r="A320">
        <v>315</v>
      </c>
      <c r="B320" t="s">
        <v>3677</v>
      </c>
      <c r="C320" t="s">
        <v>2836</v>
      </c>
      <c r="D320" t="s">
        <v>2780</v>
      </c>
      <c r="E320" t="s">
        <v>2781</v>
      </c>
      <c r="F320" t="str">
        <f>"98/329"</f>
        <v>98/329</v>
      </c>
      <c r="G320" t="s">
        <v>0</v>
      </c>
      <c r="H320" t="s">
        <v>1</v>
      </c>
      <c r="I320">
        <v>33.81</v>
      </c>
    </row>
    <row r="321" spans="1:9" ht="12.75">
      <c r="A321">
        <v>316</v>
      </c>
      <c r="B321" t="s">
        <v>2</v>
      </c>
      <c r="C321" t="s">
        <v>2807</v>
      </c>
      <c r="D321" t="s">
        <v>2780</v>
      </c>
      <c r="E321" t="s">
        <v>2786</v>
      </c>
      <c r="F321" t="str">
        <f>"25/58"</f>
        <v>25/58</v>
      </c>
      <c r="G321" t="s">
        <v>3673</v>
      </c>
      <c r="H321" t="s">
        <v>3</v>
      </c>
      <c r="I321">
        <v>33.81</v>
      </c>
    </row>
    <row r="322" spans="1:9" ht="12.75">
      <c r="A322">
        <v>317</v>
      </c>
      <c r="B322" t="s">
        <v>4</v>
      </c>
      <c r="C322" t="s">
        <v>2868</v>
      </c>
      <c r="D322" t="s">
        <v>2780</v>
      </c>
      <c r="E322" t="s">
        <v>2818</v>
      </c>
      <c r="F322" t="str">
        <f>"36/307"</f>
        <v>36/307</v>
      </c>
      <c r="G322" t="s">
        <v>2787</v>
      </c>
      <c r="H322" t="s">
        <v>5</v>
      </c>
      <c r="I322">
        <v>33.8</v>
      </c>
    </row>
    <row r="323" spans="1:9" ht="12.75">
      <c r="A323">
        <v>318</v>
      </c>
      <c r="B323" t="s">
        <v>6</v>
      </c>
      <c r="D323" t="s">
        <v>2780</v>
      </c>
      <c r="E323" t="s">
        <v>2923</v>
      </c>
      <c r="F323" t="str">
        <f>"4/7"</f>
        <v>4/7</v>
      </c>
      <c r="H323" t="s">
        <v>7</v>
      </c>
      <c r="I323">
        <v>33.8</v>
      </c>
    </row>
    <row r="324" spans="1:9" ht="12.75">
      <c r="A324">
        <v>319</v>
      </c>
      <c r="B324" t="s">
        <v>8</v>
      </c>
      <c r="C324" t="s">
        <v>9</v>
      </c>
      <c r="D324" t="s">
        <v>2780</v>
      </c>
      <c r="E324" t="s">
        <v>2823</v>
      </c>
      <c r="F324" t="str">
        <f>"105/504"</f>
        <v>105/504</v>
      </c>
      <c r="G324" t="s">
        <v>10</v>
      </c>
      <c r="H324" t="s">
        <v>11</v>
      </c>
      <c r="I324">
        <v>33.79</v>
      </c>
    </row>
    <row r="325" spans="1:9" ht="12.75">
      <c r="A325">
        <v>320</v>
      </c>
      <c r="B325" t="s">
        <v>12</v>
      </c>
      <c r="C325" t="s">
        <v>2840</v>
      </c>
      <c r="D325" t="s">
        <v>2780</v>
      </c>
      <c r="E325" t="s">
        <v>2781</v>
      </c>
      <c r="F325" t="str">
        <f>"99/329"</f>
        <v>99/329</v>
      </c>
      <c r="G325" t="s">
        <v>3656</v>
      </c>
      <c r="H325" t="s">
        <v>13</v>
      </c>
      <c r="I325">
        <v>33.79</v>
      </c>
    </row>
    <row r="326" spans="1:9" ht="12.75">
      <c r="A326">
        <v>321</v>
      </c>
      <c r="B326" t="s">
        <v>14</v>
      </c>
      <c r="C326" t="s">
        <v>2830</v>
      </c>
      <c r="D326" t="s">
        <v>2780</v>
      </c>
      <c r="E326" t="s">
        <v>2818</v>
      </c>
      <c r="F326" t="str">
        <f>"37/307"</f>
        <v>37/307</v>
      </c>
      <c r="G326" t="s">
        <v>3240</v>
      </c>
      <c r="H326" t="s">
        <v>15</v>
      </c>
      <c r="I326">
        <v>33.78</v>
      </c>
    </row>
    <row r="327" spans="1:9" ht="12.75">
      <c r="A327">
        <v>322</v>
      </c>
      <c r="B327" t="s">
        <v>16</v>
      </c>
      <c r="C327" t="s">
        <v>17</v>
      </c>
      <c r="D327" t="s">
        <v>2780</v>
      </c>
      <c r="E327" t="s">
        <v>2781</v>
      </c>
      <c r="F327" t="str">
        <f>"100/329"</f>
        <v>100/329</v>
      </c>
      <c r="G327" t="s">
        <v>18</v>
      </c>
      <c r="H327" t="s">
        <v>19</v>
      </c>
      <c r="I327">
        <v>33.78</v>
      </c>
    </row>
    <row r="328" spans="1:9" ht="12.75">
      <c r="A328">
        <v>323</v>
      </c>
      <c r="B328" t="s">
        <v>20</v>
      </c>
      <c r="C328" t="s">
        <v>2895</v>
      </c>
      <c r="D328" t="s">
        <v>2780</v>
      </c>
      <c r="E328" t="s">
        <v>2818</v>
      </c>
      <c r="F328" t="str">
        <f>"38/307"</f>
        <v>38/307</v>
      </c>
      <c r="G328" t="s">
        <v>21</v>
      </c>
      <c r="H328" t="s">
        <v>22</v>
      </c>
      <c r="I328">
        <v>33.78</v>
      </c>
    </row>
    <row r="329" spans="1:9" ht="12.75">
      <c r="A329">
        <v>324</v>
      </c>
      <c r="B329" t="s">
        <v>23</v>
      </c>
      <c r="C329" t="s">
        <v>24</v>
      </c>
      <c r="D329" t="s">
        <v>2780</v>
      </c>
      <c r="E329" t="s">
        <v>2823</v>
      </c>
      <c r="F329" t="str">
        <f>"106/504"</f>
        <v>106/504</v>
      </c>
      <c r="G329" t="s">
        <v>3176</v>
      </c>
      <c r="H329" t="s">
        <v>25</v>
      </c>
      <c r="I329">
        <v>33.77</v>
      </c>
    </row>
    <row r="330" spans="1:9" ht="12.75">
      <c r="A330">
        <v>325</v>
      </c>
      <c r="B330" t="s">
        <v>26</v>
      </c>
      <c r="C330" t="s">
        <v>2914</v>
      </c>
      <c r="D330" t="s">
        <v>2780</v>
      </c>
      <c r="E330" t="s">
        <v>2799</v>
      </c>
      <c r="F330" t="str">
        <f>"32/99"</f>
        <v>32/99</v>
      </c>
      <c r="G330" t="s">
        <v>3412</v>
      </c>
      <c r="H330" t="s">
        <v>27</v>
      </c>
      <c r="I330">
        <v>33.76</v>
      </c>
    </row>
    <row r="331" spans="1:9" ht="12.75">
      <c r="A331">
        <v>326</v>
      </c>
      <c r="B331" t="s">
        <v>28</v>
      </c>
      <c r="C331" t="s">
        <v>2807</v>
      </c>
      <c r="D331" t="s">
        <v>2780</v>
      </c>
      <c r="E331" t="s">
        <v>2781</v>
      </c>
      <c r="F331" t="str">
        <f>"101/329"</f>
        <v>101/329</v>
      </c>
      <c r="G331" t="s">
        <v>3176</v>
      </c>
      <c r="H331" t="s">
        <v>27</v>
      </c>
      <c r="I331">
        <v>33.76</v>
      </c>
    </row>
    <row r="332" spans="1:9" ht="12.75">
      <c r="A332">
        <v>327</v>
      </c>
      <c r="B332" t="s">
        <v>29</v>
      </c>
      <c r="C332" t="s">
        <v>2807</v>
      </c>
      <c r="D332" t="s">
        <v>2780</v>
      </c>
      <c r="E332" t="s">
        <v>2786</v>
      </c>
      <c r="F332" t="str">
        <f>"26/58"</f>
        <v>26/58</v>
      </c>
      <c r="G332" t="s">
        <v>3673</v>
      </c>
      <c r="H332" t="s">
        <v>30</v>
      </c>
      <c r="I332">
        <v>33.75</v>
      </c>
    </row>
    <row r="333" spans="1:9" ht="12.75">
      <c r="A333">
        <v>328</v>
      </c>
      <c r="B333" t="s">
        <v>31</v>
      </c>
      <c r="C333" t="s">
        <v>2814</v>
      </c>
      <c r="D333" t="s">
        <v>2780</v>
      </c>
      <c r="E333" t="s">
        <v>2823</v>
      </c>
      <c r="F333" t="str">
        <f>"107/504"</f>
        <v>107/504</v>
      </c>
      <c r="G333" t="s">
        <v>3117</v>
      </c>
      <c r="H333" t="s">
        <v>32</v>
      </c>
      <c r="I333">
        <v>33.74</v>
      </c>
    </row>
    <row r="334" spans="1:9" ht="12.75">
      <c r="A334">
        <v>329</v>
      </c>
      <c r="B334" t="s">
        <v>33</v>
      </c>
      <c r="C334" t="s">
        <v>2931</v>
      </c>
      <c r="D334" t="s">
        <v>2780</v>
      </c>
      <c r="E334" t="s">
        <v>2823</v>
      </c>
      <c r="F334" t="str">
        <f>"108/504"</f>
        <v>108/504</v>
      </c>
      <c r="G334" t="s">
        <v>34</v>
      </c>
      <c r="H334" t="s">
        <v>35</v>
      </c>
      <c r="I334">
        <v>33.74</v>
      </c>
    </row>
    <row r="335" spans="1:9" ht="12.75">
      <c r="A335">
        <v>330</v>
      </c>
      <c r="B335" t="s">
        <v>36</v>
      </c>
      <c r="C335" t="s">
        <v>2807</v>
      </c>
      <c r="D335" t="s">
        <v>2780</v>
      </c>
      <c r="E335" t="s">
        <v>2823</v>
      </c>
      <c r="F335" t="str">
        <f>"109/504"</f>
        <v>109/504</v>
      </c>
      <c r="G335" t="s">
        <v>3148</v>
      </c>
      <c r="H335" t="s">
        <v>37</v>
      </c>
      <c r="I335">
        <v>33.73</v>
      </c>
    </row>
    <row r="336" spans="1:9" ht="12.75">
      <c r="A336">
        <v>331</v>
      </c>
      <c r="B336" t="s">
        <v>38</v>
      </c>
      <c r="C336" t="s">
        <v>39</v>
      </c>
      <c r="D336" t="s">
        <v>2780</v>
      </c>
      <c r="E336" t="s">
        <v>2781</v>
      </c>
      <c r="F336" t="str">
        <f>"102/329"</f>
        <v>102/329</v>
      </c>
      <c r="G336" t="s">
        <v>40</v>
      </c>
      <c r="H336" t="s">
        <v>41</v>
      </c>
      <c r="I336">
        <v>33.72</v>
      </c>
    </row>
    <row r="337" spans="1:9" ht="12.75">
      <c r="A337">
        <v>332</v>
      </c>
      <c r="B337" t="s">
        <v>42</v>
      </c>
      <c r="C337" t="s">
        <v>43</v>
      </c>
      <c r="D337" t="s">
        <v>2780</v>
      </c>
      <c r="E337" t="s">
        <v>2973</v>
      </c>
      <c r="F337" t="str">
        <f>"11/167"</f>
        <v>11/167</v>
      </c>
      <c r="G337" t="s">
        <v>3535</v>
      </c>
      <c r="H337" t="s">
        <v>44</v>
      </c>
      <c r="I337">
        <v>33.69</v>
      </c>
    </row>
    <row r="338" spans="1:9" ht="12.75">
      <c r="A338">
        <v>333</v>
      </c>
      <c r="B338" t="s">
        <v>3595</v>
      </c>
      <c r="C338" t="s">
        <v>2963</v>
      </c>
      <c r="D338" t="s">
        <v>2780</v>
      </c>
      <c r="E338" t="s">
        <v>2823</v>
      </c>
      <c r="F338" t="str">
        <f>"110/504"</f>
        <v>110/504</v>
      </c>
      <c r="G338" t="s">
        <v>2889</v>
      </c>
      <c r="H338" t="s">
        <v>45</v>
      </c>
      <c r="I338">
        <v>33.67</v>
      </c>
    </row>
    <row r="339" spans="1:9" ht="12.75">
      <c r="A339">
        <v>334</v>
      </c>
      <c r="B339" t="s">
        <v>46</v>
      </c>
      <c r="C339" t="s">
        <v>2963</v>
      </c>
      <c r="D339" t="s">
        <v>2780</v>
      </c>
      <c r="E339" t="s">
        <v>2781</v>
      </c>
      <c r="F339" t="str">
        <f>"103/329"</f>
        <v>103/329</v>
      </c>
      <c r="G339" t="s">
        <v>3039</v>
      </c>
      <c r="H339" t="s">
        <v>47</v>
      </c>
      <c r="I339">
        <v>33.66</v>
      </c>
    </row>
    <row r="340" spans="1:9" ht="12.75">
      <c r="A340">
        <v>335</v>
      </c>
      <c r="B340" t="s">
        <v>48</v>
      </c>
      <c r="C340" t="s">
        <v>2779</v>
      </c>
      <c r="D340" t="s">
        <v>2780</v>
      </c>
      <c r="E340" t="s">
        <v>2823</v>
      </c>
      <c r="F340" t="str">
        <f>"111/504"</f>
        <v>111/504</v>
      </c>
      <c r="G340" t="s">
        <v>49</v>
      </c>
      <c r="H340" t="s">
        <v>50</v>
      </c>
      <c r="I340">
        <v>33.65</v>
      </c>
    </row>
    <row r="341" spans="1:9" ht="12.75">
      <c r="A341">
        <v>336</v>
      </c>
      <c r="B341" t="s">
        <v>51</v>
      </c>
      <c r="C341" t="s">
        <v>3594</v>
      </c>
      <c r="D341" t="s">
        <v>2780</v>
      </c>
      <c r="E341" t="s">
        <v>2818</v>
      </c>
      <c r="F341" t="str">
        <f>"39/307"</f>
        <v>39/307</v>
      </c>
      <c r="G341" t="s">
        <v>3391</v>
      </c>
      <c r="H341" t="s">
        <v>52</v>
      </c>
      <c r="I341">
        <v>33.65</v>
      </c>
    </row>
    <row r="342" spans="1:9" ht="12.75">
      <c r="A342">
        <v>337</v>
      </c>
      <c r="B342" t="s">
        <v>53</v>
      </c>
      <c r="C342" t="s">
        <v>54</v>
      </c>
      <c r="D342" t="s">
        <v>2780</v>
      </c>
      <c r="E342" t="s">
        <v>2818</v>
      </c>
      <c r="F342" t="str">
        <f>"40/307"</f>
        <v>40/307</v>
      </c>
      <c r="G342" t="s">
        <v>3495</v>
      </c>
      <c r="H342" t="s">
        <v>55</v>
      </c>
      <c r="I342">
        <v>33.65</v>
      </c>
    </row>
    <row r="343" spans="1:9" ht="12.75">
      <c r="A343">
        <v>338</v>
      </c>
      <c r="B343" t="s">
        <v>56</v>
      </c>
      <c r="C343" t="s">
        <v>2836</v>
      </c>
      <c r="D343" t="s">
        <v>2780</v>
      </c>
      <c r="E343" t="s">
        <v>2823</v>
      </c>
      <c r="F343" t="str">
        <f>"112/504"</f>
        <v>112/504</v>
      </c>
      <c r="G343" t="s">
        <v>57</v>
      </c>
      <c r="H343" t="s">
        <v>58</v>
      </c>
      <c r="I343">
        <v>33.62</v>
      </c>
    </row>
    <row r="344" spans="1:9" ht="12.75">
      <c r="A344">
        <v>339</v>
      </c>
      <c r="B344" t="s">
        <v>3378</v>
      </c>
      <c r="C344" t="s">
        <v>2931</v>
      </c>
      <c r="D344" t="s">
        <v>2780</v>
      </c>
      <c r="E344" t="s">
        <v>2823</v>
      </c>
      <c r="F344" t="str">
        <f>"113/504"</f>
        <v>113/504</v>
      </c>
      <c r="G344" t="s">
        <v>59</v>
      </c>
      <c r="H344" t="s">
        <v>60</v>
      </c>
      <c r="I344">
        <v>33.62</v>
      </c>
    </row>
    <row r="345" spans="1:9" ht="12.75">
      <c r="A345">
        <v>340</v>
      </c>
      <c r="B345" t="s">
        <v>61</v>
      </c>
      <c r="C345" t="s">
        <v>2861</v>
      </c>
      <c r="D345" t="s">
        <v>2780</v>
      </c>
      <c r="E345" t="s">
        <v>2823</v>
      </c>
      <c r="F345" t="str">
        <f>"114/504"</f>
        <v>114/504</v>
      </c>
      <c r="G345" t="s">
        <v>3555</v>
      </c>
      <c r="H345" t="s">
        <v>62</v>
      </c>
      <c r="I345">
        <v>33.61</v>
      </c>
    </row>
    <row r="346" spans="1:9" ht="12.75">
      <c r="A346">
        <v>341</v>
      </c>
      <c r="B346" t="s">
        <v>63</v>
      </c>
      <c r="C346" t="s">
        <v>3147</v>
      </c>
      <c r="D346" t="s">
        <v>2780</v>
      </c>
      <c r="E346" t="s">
        <v>2786</v>
      </c>
      <c r="F346" t="str">
        <f>"27/58"</f>
        <v>27/58</v>
      </c>
      <c r="G346" t="s">
        <v>2920</v>
      </c>
      <c r="H346" t="s">
        <v>64</v>
      </c>
      <c r="I346">
        <v>33.58</v>
      </c>
    </row>
    <row r="347" spans="1:9" ht="12.75">
      <c r="A347">
        <v>342</v>
      </c>
      <c r="B347" t="s">
        <v>65</v>
      </c>
      <c r="C347" t="s">
        <v>3318</v>
      </c>
      <c r="D347" t="s">
        <v>2780</v>
      </c>
      <c r="E347" t="s">
        <v>2823</v>
      </c>
      <c r="F347" t="str">
        <f>"115/504"</f>
        <v>115/504</v>
      </c>
      <c r="G347" t="s">
        <v>66</v>
      </c>
      <c r="H347" t="s">
        <v>67</v>
      </c>
      <c r="I347">
        <v>33.56</v>
      </c>
    </row>
    <row r="348" spans="1:9" ht="12.75">
      <c r="A348">
        <v>343</v>
      </c>
      <c r="B348" t="s">
        <v>68</v>
      </c>
      <c r="C348" t="s">
        <v>2861</v>
      </c>
      <c r="D348" t="s">
        <v>2780</v>
      </c>
      <c r="E348" t="s">
        <v>2823</v>
      </c>
      <c r="F348" t="str">
        <f>"116/504"</f>
        <v>116/504</v>
      </c>
      <c r="G348" t="s">
        <v>2889</v>
      </c>
      <c r="H348" t="s">
        <v>67</v>
      </c>
      <c r="I348">
        <v>33.56</v>
      </c>
    </row>
    <row r="349" spans="1:9" ht="12.75">
      <c r="A349">
        <v>344</v>
      </c>
      <c r="B349" t="s">
        <v>69</v>
      </c>
      <c r="C349" t="s">
        <v>3464</v>
      </c>
      <c r="D349" t="s">
        <v>2780</v>
      </c>
      <c r="E349" t="s">
        <v>2823</v>
      </c>
      <c r="F349" t="str">
        <f>"117/504"</f>
        <v>117/504</v>
      </c>
      <c r="G349" t="s">
        <v>70</v>
      </c>
      <c r="H349" t="s">
        <v>71</v>
      </c>
      <c r="I349">
        <v>33.56</v>
      </c>
    </row>
    <row r="350" spans="1:9" ht="12.75">
      <c r="A350">
        <v>345</v>
      </c>
      <c r="B350" t="s">
        <v>72</v>
      </c>
      <c r="C350" t="s">
        <v>3346</v>
      </c>
      <c r="D350" t="s">
        <v>2780</v>
      </c>
      <c r="E350" t="s">
        <v>3244</v>
      </c>
      <c r="F350" t="str">
        <f>"2/63"</f>
        <v>2/63</v>
      </c>
      <c r="G350" t="s">
        <v>73</v>
      </c>
      <c r="H350" t="s">
        <v>74</v>
      </c>
      <c r="I350">
        <v>33.56</v>
      </c>
    </row>
    <row r="351" spans="1:9" ht="12.75">
      <c r="A351">
        <v>346</v>
      </c>
      <c r="B351" t="s">
        <v>75</v>
      </c>
      <c r="C351" t="s">
        <v>2857</v>
      </c>
      <c r="D351" t="s">
        <v>2780</v>
      </c>
      <c r="E351" t="s">
        <v>2823</v>
      </c>
      <c r="F351" t="str">
        <f>"118/504"</f>
        <v>118/504</v>
      </c>
      <c r="G351" t="s">
        <v>76</v>
      </c>
      <c r="H351" t="s">
        <v>77</v>
      </c>
      <c r="I351">
        <v>33.54</v>
      </c>
    </row>
    <row r="352" spans="1:9" ht="12.75">
      <c r="A352">
        <v>347</v>
      </c>
      <c r="B352" t="s">
        <v>78</v>
      </c>
      <c r="C352" t="s">
        <v>2861</v>
      </c>
      <c r="D352" t="s">
        <v>2780</v>
      </c>
      <c r="E352" t="s">
        <v>2823</v>
      </c>
      <c r="F352" t="str">
        <f>"119/504"</f>
        <v>119/504</v>
      </c>
      <c r="G352" t="s">
        <v>3587</v>
      </c>
      <c r="H352" t="s">
        <v>79</v>
      </c>
      <c r="I352">
        <v>33.54</v>
      </c>
    </row>
    <row r="353" spans="1:9" ht="12.75">
      <c r="A353">
        <v>348</v>
      </c>
      <c r="B353" t="s">
        <v>80</v>
      </c>
      <c r="C353" t="s">
        <v>2836</v>
      </c>
      <c r="D353" t="s">
        <v>2780</v>
      </c>
      <c r="E353" t="s">
        <v>2786</v>
      </c>
      <c r="F353" t="str">
        <f>"28/58"</f>
        <v>28/58</v>
      </c>
      <c r="G353" t="s">
        <v>81</v>
      </c>
      <c r="H353" t="s">
        <v>82</v>
      </c>
      <c r="I353">
        <v>33.54</v>
      </c>
    </row>
    <row r="354" spans="1:9" ht="12.75">
      <c r="A354">
        <v>349</v>
      </c>
      <c r="B354" t="s">
        <v>83</v>
      </c>
      <c r="C354" t="s">
        <v>84</v>
      </c>
      <c r="D354" t="s">
        <v>2780</v>
      </c>
      <c r="E354" t="s">
        <v>2973</v>
      </c>
      <c r="F354" t="str">
        <f>"12/167"</f>
        <v>12/167</v>
      </c>
      <c r="G354" t="s">
        <v>85</v>
      </c>
      <c r="H354" t="s">
        <v>86</v>
      </c>
      <c r="I354">
        <v>33.53</v>
      </c>
    </row>
    <row r="355" spans="1:9" ht="12.75">
      <c r="A355">
        <v>350</v>
      </c>
      <c r="B355" t="s">
        <v>87</v>
      </c>
      <c r="C355" t="s">
        <v>3346</v>
      </c>
      <c r="D355" t="s">
        <v>2780</v>
      </c>
      <c r="E355" t="s">
        <v>2818</v>
      </c>
      <c r="F355" t="str">
        <f>"41/307"</f>
        <v>41/307</v>
      </c>
      <c r="G355" t="s">
        <v>3673</v>
      </c>
      <c r="H355" t="s">
        <v>88</v>
      </c>
      <c r="I355">
        <v>33.52</v>
      </c>
    </row>
    <row r="356" spans="1:9" ht="12.75">
      <c r="A356">
        <v>351</v>
      </c>
      <c r="B356" t="s">
        <v>89</v>
      </c>
      <c r="C356" t="s">
        <v>3108</v>
      </c>
      <c r="D356" t="s">
        <v>2780</v>
      </c>
      <c r="E356" t="s">
        <v>2973</v>
      </c>
      <c r="F356" t="str">
        <f>"13/167"</f>
        <v>13/167</v>
      </c>
      <c r="G356" t="s">
        <v>3549</v>
      </c>
      <c r="H356" t="s">
        <v>90</v>
      </c>
      <c r="I356">
        <v>33.52</v>
      </c>
    </row>
    <row r="357" spans="1:9" ht="12.75">
      <c r="A357">
        <v>352</v>
      </c>
      <c r="B357" t="s">
        <v>3086</v>
      </c>
      <c r="C357" t="s">
        <v>3633</v>
      </c>
      <c r="D357" t="s">
        <v>2780</v>
      </c>
      <c r="E357" t="s">
        <v>2818</v>
      </c>
      <c r="F357" t="str">
        <f>"42/307"</f>
        <v>42/307</v>
      </c>
      <c r="G357" t="s">
        <v>57</v>
      </c>
      <c r="H357" t="s">
        <v>91</v>
      </c>
      <c r="I357">
        <v>33.51</v>
      </c>
    </row>
    <row r="358" spans="1:9" ht="12.75">
      <c r="A358">
        <v>353</v>
      </c>
      <c r="B358" t="s">
        <v>92</v>
      </c>
      <c r="C358" t="s">
        <v>2865</v>
      </c>
      <c r="D358" t="s">
        <v>2780</v>
      </c>
      <c r="E358" t="s">
        <v>2823</v>
      </c>
      <c r="F358" t="str">
        <f>"120/504"</f>
        <v>120/504</v>
      </c>
      <c r="G358" t="s">
        <v>3111</v>
      </c>
      <c r="H358" t="s">
        <v>93</v>
      </c>
      <c r="I358">
        <v>33.51</v>
      </c>
    </row>
    <row r="359" spans="1:9" ht="12.75">
      <c r="A359">
        <v>354</v>
      </c>
      <c r="B359" t="s">
        <v>94</v>
      </c>
      <c r="C359" t="s">
        <v>3318</v>
      </c>
      <c r="D359" t="s">
        <v>2780</v>
      </c>
      <c r="E359" t="s">
        <v>2973</v>
      </c>
      <c r="F359" t="str">
        <f>"14/167"</f>
        <v>14/167</v>
      </c>
      <c r="G359" t="s">
        <v>95</v>
      </c>
      <c r="H359" t="s">
        <v>96</v>
      </c>
      <c r="I359">
        <v>33.51</v>
      </c>
    </row>
    <row r="360" spans="1:9" ht="12.75">
      <c r="A360">
        <v>355</v>
      </c>
      <c r="B360" t="s">
        <v>97</v>
      </c>
      <c r="C360" t="s">
        <v>2906</v>
      </c>
      <c r="D360" t="s">
        <v>2780</v>
      </c>
      <c r="E360" t="s">
        <v>2781</v>
      </c>
      <c r="F360" t="str">
        <f>"104/329"</f>
        <v>104/329</v>
      </c>
      <c r="G360" t="s">
        <v>3082</v>
      </c>
      <c r="H360" t="s">
        <v>98</v>
      </c>
      <c r="I360">
        <v>33.5</v>
      </c>
    </row>
    <row r="361" spans="1:9" ht="12.75">
      <c r="A361">
        <v>356</v>
      </c>
      <c r="B361" t="s">
        <v>99</v>
      </c>
      <c r="C361" t="s">
        <v>2966</v>
      </c>
      <c r="D361" t="s">
        <v>2780</v>
      </c>
      <c r="E361" t="s">
        <v>2823</v>
      </c>
      <c r="F361" t="str">
        <f>"121/504"</f>
        <v>121/504</v>
      </c>
      <c r="G361" t="s">
        <v>100</v>
      </c>
      <c r="H361" t="s">
        <v>101</v>
      </c>
      <c r="I361">
        <v>33.49</v>
      </c>
    </row>
    <row r="362" spans="1:9" ht="12.75">
      <c r="A362">
        <v>357</v>
      </c>
      <c r="B362" t="s">
        <v>102</v>
      </c>
      <c r="C362" t="s">
        <v>2836</v>
      </c>
      <c r="D362" t="s">
        <v>2780</v>
      </c>
      <c r="E362" t="s">
        <v>2799</v>
      </c>
      <c r="F362" t="str">
        <f>"33/99"</f>
        <v>33/99</v>
      </c>
      <c r="G362" t="s">
        <v>103</v>
      </c>
      <c r="H362" t="s">
        <v>104</v>
      </c>
      <c r="I362">
        <v>33.48</v>
      </c>
    </row>
    <row r="363" spans="1:9" ht="12.75">
      <c r="A363">
        <v>358</v>
      </c>
      <c r="B363" t="s">
        <v>105</v>
      </c>
      <c r="C363" t="s">
        <v>3017</v>
      </c>
      <c r="D363" t="s">
        <v>2780</v>
      </c>
      <c r="E363" t="s">
        <v>2781</v>
      </c>
      <c r="F363" t="str">
        <f>"105/329"</f>
        <v>105/329</v>
      </c>
      <c r="G363" t="s">
        <v>3088</v>
      </c>
      <c r="H363" t="s">
        <v>104</v>
      </c>
      <c r="I363">
        <v>33.48</v>
      </c>
    </row>
    <row r="364" spans="1:9" ht="12.75">
      <c r="A364">
        <v>359</v>
      </c>
      <c r="B364" t="s">
        <v>106</v>
      </c>
      <c r="C364" t="s">
        <v>3008</v>
      </c>
      <c r="D364" t="s">
        <v>2780</v>
      </c>
      <c r="E364" t="s">
        <v>2781</v>
      </c>
      <c r="F364" t="str">
        <f>"106/329"</f>
        <v>106/329</v>
      </c>
      <c r="G364" t="s">
        <v>3067</v>
      </c>
      <c r="H364" t="s">
        <v>107</v>
      </c>
      <c r="I364">
        <v>33.48</v>
      </c>
    </row>
    <row r="365" spans="1:9" ht="12.75">
      <c r="A365">
        <v>360</v>
      </c>
      <c r="B365" t="s">
        <v>108</v>
      </c>
      <c r="C365" t="s">
        <v>109</v>
      </c>
      <c r="D365" t="s">
        <v>2780</v>
      </c>
      <c r="E365" t="s">
        <v>2973</v>
      </c>
      <c r="F365" t="str">
        <f>"15/167"</f>
        <v>15/167</v>
      </c>
      <c r="G365" t="s">
        <v>110</v>
      </c>
      <c r="H365" t="s">
        <v>111</v>
      </c>
      <c r="I365">
        <v>33.48</v>
      </c>
    </row>
    <row r="366" spans="1:9" ht="12.75">
      <c r="A366">
        <v>361</v>
      </c>
      <c r="B366" t="s">
        <v>112</v>
      </c>
      <c r="C366" t="s">
        <v>3008</v>
      </c>
      <c r="D366" t="s">
        <v>2780</v>
      </c>
      <c r="E366" t="s">
        <v>2781</v>
      </c>
      <c r="F366" t="str">
        <f>"107/329"</f>
        <v>107/329</v>
      </c>
      <c r="G366" t="s">
        <v>2804</v>
      </c>
      <c r="H366" t="s">
        <v>113</v>
      </c>
      <c r="I366">
        <v>33.48</v>
      </c>
    </row>
    <row r="367" spans="1:9" ht="12.75">
      <c r="A367">
        <v>362</v>
      </c>
      <c r="B367" t="s">
        <v>114</v>
      </c>
      <c r="C367" t="s">
        <v>2830</v>
      </c>
      <c r="D367" t="s">
        <v>2780</v>
      </c>
      <c r="E367" t="s">
        <v>2823</v>
      </c>
      <c r="F367" t="str">
        <f>"122/504"</f>
        <v>122/504</v>
      </c>
      <c r="G367" t="s">
        <v>115</v>
      </c>
      <c r="H367" t="s">
        <v>116</v>
      </c>
      <c r="I367">
        <v>33.48</v>
      </c>
    </row>
    <row r="368" spans="1:9" ht="12.75">
      <c r="A368">
        <v>363</v>
      </c>
      <c r="B368" t="s">
        <v>117</v>
      </c>
      <c r="C368" t="s">
        <v>2865</v>
      </c>
      <c r="D368" t="s">
        <v>2780</v>
      </c>
      <c r="E368" t="s">
        <v>2823</v>
      </c>
      <c r="F368" t="str">
        <f>"123/504"</f>
        <v>123/504</v>
      </c>
      <c r="G368" t="s">
        <v>118</v>
      </c>
      <c r="H368" t="s">
        <v>119</v>
      </c>
      <c r="I368">
        <v>33.48</v>
      </c>
    </row>
    <row r="369" spans="1:9" ht="12.75">
      <c r="A369">
        <v>364</v>
      </c>
      <c r="B369" t="s">
        <v>120</v>
      </c>
      <c r="C369" t="s">
        <v>3633</v>
      </c>
      <c r="D369" t="s">
        <v>2780</v>
      </c>
      <c r="E369" t="s">
        <v>2781</v>
      </c>
      <c r="F369" t="str">
        <f>"108/329"</f>
        <v>108/329</v>
      </c>
      <c r="G369" t="s">
        <v>2804</v>
      </c>
      <c r="H369" t="s">
        <v>121</v>
      </c>
      <c r="I369">
        <v>33.47</v>
      </c>
    </row>
    <row r="370" spans="1:9" ht="12.75">
      <c r="A370">
        <v>365</v>
      </c>
      <c r="B370" t="s">
        <v>2835</v>
      </c>
      <c r="C370" t="s">
        <v>3102</v>
      </c>
      <c r="D370" t="s">
        <v>2780</v>
      </c>
      <c r="E370" t="s">
        <v>2781</v>
      </c>
      <c r="F370" t="str">
        <f>"109/329"</f>
        <v>109/329</v>
      </c>
      <c r="G370" t="s">
        <v>122</v>
      </c>
      <c r="H370" t="s">
        <v>123</v>
      </c>
      <c r="I370">
        <v>33.47</v>
      </c>
    </row>
    <row r="371" spans="1:9" ht="12.75">
      <c r="A371">
        <v>366</v>
      </c>
      <c r="B371" t="s">
        <v>124</v>
      </c>
      <c r="C371" t="s">
        <v>2865</v>
      </c>
      <c r="D371" t="s">
        <v>2780</v>
      </c>
      <c r="E371" t="s">
        <v>2781</v>
      </c>
      <c r="F371" t="str">
        <f>"110/329"</f>
        <v>110/329</v>
      </c>
      <c r="G371" t="s">
        <v>125</v>
      </c>
      <c r="H371" t="s">
        <v>126</v>
      </c>
      <c r="I371">
        <v>33.46</v>
      </c>
    </row>
    <row r="372" spans="1:9" ht="12.75">
      <c r="A372">
        <v>367</v>
      </c>
      <c r="B372" t="s">
        <v>3105</v>
      </c>
      <c r="C372" t="s">
        <v>2850</v>
      </c>
      <c r="D372" t="s">
        <v>2780</v>
      </c>
      <c r="E372" t="s">
        <v>2781</v>
      </c>
      <c r="F372" t="str">
        <f>"111/329"</f>
        <v>111/329</v>
      </c>
      <c r="G372" t="s">
        <v>2844</v>
      </c>
      <c r="H372" t="s">
        <v>127</v>
      </c>
      <c r="I372">
        <v>33.46</v>
      </c>
    </row>
    <row r="373" spans="1:9" ht="12.75">
      <c r="A373">
        <v>368</v>
      </c>
      <c r="B373" t="s">
        <v>128</v>
      </c>
      <c r="C373" t="s">
        <v>3576</v>
      </c>
      <c r="D373" t="s">
        <v>2780</v>
      </c>
      <c r="E373" t="s">
        <v>2973</v>
      </c>
      <c r="F373" t="str">
        <f>"16/167"</f>
        <v>16/167</v>
      </c>
      <c r="G373" t="s">
        <v>3347</v>
      </c>
      <c r="H373" t="s">
        <v>129</v>
      </c>
      <c r="I373">
        <v>33.46</v>
      </c>
    </row>
    <row r="374" spans="1:9" ht="12.75">
      <c r="A374">
        <v>369</v>
      </c>
      <c r="B374" t="s">
        <v>130</v>
      </c>
      <c r="C374" t="s">
        <v>131</v>
      </c>
      <c r="D374" t="s">
        <v>3031</v>
      </c>
      <c r="E374" t="s">
        <v>3032</v>
      </c>
      <c r="F374" t="str">
        <f>"8/54"</f>
        <v>8/54</v>
      </c>
      <c r="G374" t="s">
        <v>3067</v>
      </c>
      <c r="H374" t="s">
        <v>132</v>
      </c>
      <c r="I374">
        <v>33.45</v>
      </c>
    </row>
    <row r="375" spans="1:9" ht="12.75">
      <c r="A375">
        <v>370</v>
      </c>
      <c r="B375" t="s">
        <v>133</v>
      </c>
      <c r="C375" t="s">
        <v>2857</v>
      </c>
      <c r="D375" t="s">
        <v>2780</v>
      </c>
      <c r="E375" t="s">
        <v>2823</v>
      </c>
      <c r="F375" t="str">
        <f>"124/504"</f>
        <v>124/504</v>
      </c>
      <c r="G375" t="s">
        <v>134</v>
      </c>
      <c r="H375" t="s">
        <v>135</v>
      </c>
      <c r="I375">
        <v>33.45</v>
      </c>
    </row>
    <row r="376" spans="1:9" ht="12.75">
      <c r="A376">
        <v>371</v>
      </c>
      <c r="B376" t="s">
        <v>136</v>
      </c>
      <c r="C376" t="s">
        <v>137</v>
      </c>
      <c r="D376" t="s">
        <v>2780</v>
      </c>
      <c r="E376" t="s">
        <v>2818</v>
      </c>
      <c r="F376" t="str">
        <f>"43/307"</f>
        <v>43/307</v>
      </c>
      <c r="G376" t="s">
        <v>138</v>
      </c>
      <c r="H376" t="s">
        <v>139</v>
      </c>
      <c r="I376">
        <v>33.44</v>
      </c>
    </row>
    <row r="377" spans="1:9" ht="12.75">
      <c r="A377">
        <v>372</v>
      </c>
      <c r="B377" t="s">
        <v>124</v>
      </c>
      <c r="C377" t="s">
        <v>2895</v>
      </c>
      <c r="D377" t="s">
        <v>2780</v>
      </c>
      <c r="E377" t="s">
        <v>2781</v>
      </c>
      <c r="F377" t="str">
        <f>"112/329"</f>
        <v>112/329</v>
      </c>
      <c r="G377" t="s">
        <v>125</v>
      </c>
      <c r="H377" t="s">
        <v>140</v>
      </c>
      <c r="I377">
        <v>33.44</v>
      </c>
    </row>
    <row r="378" spans="1:9" ht="12.75">
      <c r="A378">
        <v>373</v>
      </c>
      <c r="B378" t="s">
        <v>141</v>
      </c>
      <c r="C378" t="s">
        <v>2966</v>
      </c>
      <c r="D378" t="s">
        <v>2780</v>
      </c>
      <c r="E378" t="s">
        <v>2823</v>
      </c>
      <c r="F378" t="str">
        <f>"125/504"</f>
        <v>125/504</v>
      </c>
      <c r="G378" t="s">
        <v>3202</v>
      </c>
      <c r="H378" t="s">
        <v>142</v>
      </c>
      <c r="I378">
        <v>33.43</v>
      </c>
    </row>
    <row r="379" spans="1:9" ht="12.75">
      <c r="A379">
        <v>374</v>
      </c>
      <c r="B379" t="s">
        <v>12</v>
      </c>
      <c r="C379" t="s">
        <v>3017</v>
      </c>
      <c r="D379" t="s">
        <v>2780</v>
      </c>
      <c r="E379" t="s">
        <v>2799</v>
      </c>
      <c r="F379" t="str">
        <f>"34/99"</f>
        <v>34/99</v>
      </c>
      <c r="G379" t="s">
        <v>3656</v>
      </c>
      <c r="H379" t="s">
        <v>143</v>
      </c>
      <c r="I379">
        <v>33.43</v>
      </c>
    </row>
    <row r="380" spans="1:9" ht="12.75">
      <c r="A380">
        <v>375</v>
      </c>
      <c r="B380" t="s">
        <v>144</v>
      </c>
      <c r="C380" t="s">
        <v>3205</v>
      </c>
      <c r="D380" t="s">
        <v>2780</v>
      </c>
      <c r="E380" t="s">
        <v>2823</v>
      </c>
      <c r="F380" t="str">
        <f>"126/504"</f>
        <v>126/504</v>
      </c>
      <c r="G380" t="s">
        <v>3060</v>
      </c>
      <c r="H380" t="s">
        <v>145</v>
      </c>
      <c r="I380">
        <v>33.41</v>
      </c>
    </row>
    <row r="381" spans="1:9" ht="12.75">
      <c r="A381">
        <v>376</v>
      </c>
      <c r="B381" t="s">
        <v>146</v>
      </c>
      <c r="C381" t="s">
        <v>3387</v>
      </c>
      <c r="D381" t="s">
        <v>2780</v>
      </c>
      <c r="E381" t="s">
        <v>2781</v>
      </c>
      <c r="F381" t="str">
        <f>"113/329"</f>
        <v>113/329</v>
      </c>
      <c r="G381" t="s">
        <v>147</v>
      </c>
      <c r="H381" t="s">
        <v>148</v>
      </c>
      <c r="I381">
        <v>33.41</v>
      </c>
    </row>
    <row r="382" spans="1:9" ht="12.75">
      <c r="A382">
        <v>377</v>
      </c>
      <c r="B382" t="s">
        <v>28</v>
      </c>
      <c r="C382" t="s">
        <v>149</v>
      </c>
      <c r="D382" t="s">
        <v>2780</v>
      </c>
      <c r="E382" t="s">
        <v>2818</v>
      </c>
      <c r="F382" t="str">
        <f>"44/307"</f>
        <v>44/307</v>
      </c>
      <c r="G382" t="s">
        <v>3492</v>
      </c>
      <c r="H382" t="s">
        <v>150</v>
      </c>
      <c r="I382">
        <v>33.4</v>
      </c>
    </row>
    <row r="383" spans="1:9" ht="12.75">
      <c r="A383">
        <v>378</v>
      </c>
      <c r="B383" t="s">
        <v>151</v>
      </c>
      <c r="C383" t="s">
        <v>3346</v>
      </c>
      <c r="D383" t="s">
        <v>2780</v>
      </c>
      <c r="E383" t="s">
        <v>2823</v>
      </c>
      <c r="F383" t="str">
        <f>"127/504"</f>
        <v>127/504</v>
      </c>
      <c r="G383" t="s">
        <v>152</v>
      </c>
      <c r="H383" t="s">
        <v>153</v>
      </c>
      <c r="I383">
        <v>33.39</v>
      </c>
    </row>
    <row r="384" spans="1:9" ht="12.75">
      <c r="A384">
        <v>379</v>
      </c>
      <c r="B384" t="s">
        <v>154</v>
      </c>
      <c r="C384" t="s">
        <v>2942</v>
      </c>
      <c r="D384" t="s">
        <v>2780</v>
      </c>
      <c r="E384" t="s">
        <v>2818</v>
      </c>
      <c r="F384" t="str">
        <f>"45/307"</f>
        <v>45/307</v>
      </c>
      <c r="G384" t="s">
        <v>155</v>
      </c>
      <c r="H384" t="s">
        <v>156</v>
      </c>
      <c r="I384">
        <v>33.39</v>
      </c>
    </row>
    <row r="385" spans="1:9" ht="12.75">
      <c r="A385">
        <v>380</v>
      </c>
      <c r="B385" t="s">
        <v>157</v>
      </c>
      <c r="C385" t="s">
        <v>158</v>
      </c>
      <c r="D385" t="s">
        <v>2780</v>
      </c>
      <c r="E385" t="s">
        <v>2823</v>
      </c>
      <c r="F385" t="str">
        <f>"128/504"</f>
        <v>128/504</v>
      </c>
      <c r="G385" t="s">
        <v>159</v>
      </c>
      <c r="H385" t="s">
        <v>160</v>
      </c>
      <c r="I385">
        <v>33.39</v>
      </c>
    </row>
    <row r="386" spans="1:9" ht="12.75">
      <c r="A386">
        <v>381</v>
      </c>
      <c r="B386" t="s">
        <v>161</v>
      </c>
      <c r="C386" t="s">
        <v>2963</v>
      </c>
      <c r="D386" t="s">
        <v>2780</v>
      </c>
      <c r="E386" t="s">
        <v>2823</v>
      </c>
      <c r="F386" t="str">
        <f>"129/504"</f>
        <v>129/504</v>
      </c>
      <c r="G386" t="s">
        <v>162</v>
      </c>
      <c r="H386" t="s">
        <v>163</v>
      </c>
      <c r="I386">
        <v>33.39</v>
      </c>
    </row>
    <row r="387" spans="1:9" ht="12.75">
      <c r="A387">
        <v>382</v>
      </c>
      <c r="B387" t="s">
        <v>164</v>
      </c>
      <c r="C387" t="s">
        <v>165</v>
      </c>
      <c r="D387" t="s">
        <v>2780</v>
      </c>
      <c r="E387" t="s">
        <v>2818</v>
      </c>
      <c r="F387" t="str">
        <f>"46/307"</f>
        <v>46/307</v>
      </c>
      <c r="G387" t="s">
        <v>3261</v>
      </c>
      <c r="H387" t="s">
        <v>166</v>
      </c>
      <c r="I387">
        <v>33.38</v>
      </c>
    </row>
    <row r="388" spans="1:9" ht="12.75">
      <c r="A388">
        <v>383</v>
      </c>
      <c r="B388" t="s">
        <v>167</v>
      </c>
      <c r="C388" t="s">
        <v>2895</v>
      </c>
      <c r="D388" t="s">
        <v>2780</v>
      </c>
      <c r="E388" t="s">
        <v>2781</v>
      </c>
      <c r="F388" t="str">
        <f>"114/329"</f>
        <v>114/329</v>
      </c>
      <c r="G388" t="s">
        <v>168</v>
      </c>
      <c r="H388" t="s">
        <v>169</v>
      </c>
      <c r="I388">
        <v>33.38</v>
      </c>
    </row>
    <row r="389" spans="1:9" ht="12.75">
      <c r="A389">
        <v>384</v>
      </c>
      <c r="B389" t="s">
        <v>170</v>
      </c>
      <c r="C389" t="s">
        <v>2836</v>
      </c>
      <c r="D389" t="s">
        <v>2780</v>
      </c>
      <c r="E389" t="s">
        <v>2786</v>
      </c>
      <c r="F389" t="str">
        <f>"29/58"</f>
        <v>29/58</v>
      </c>
      <c r="G389" t="s">
        <v>171</v>
      </c>
      <c r="H389" t="s">
        <v>172</v>
      </c>
      <c r="I389">
        <v>33.37</v>
      </c>
    </row>
    <row r="390" spans="1:9" ht="12.75">
      <c r="A390">
        <v>385</v>
      </c>
      <c r="B390" t="s">
        <v>3359</v>
      </c>
      <c r="C390" t="s">
        <v>2807</v>
      </c>
      <c r="D390" t="s">
        <v>2780</v>
      </c>
      <c r="E390" t="s">
        <v>2781</v>
      </c>
      <c r="F390" t="str">
        <f>"115/329"</f>
        <v>115/329</v>
      </c>
      <c r="G390" t="s">
        <v>3360</v>
      </c>
      <c r="H390" t="s">
        <v>173</v>
      </c>
      <c r="I390">
        <v>33.36</v>
      </c>
    </row>
    <row r="391" spans="1:9" ht="12.75">
      <c r="A391">
        <v>386</v>
      </c>
      <c r="B391" t="s">
        <v>174</v>
      </c>
      <c r="C391" t="s">
        <v>2868</v>
      </c>
      <c r="D391" t="s">
        <v>2780</v>
      </c>
      <c r="E391" t="s">
        <v>2786</v>
      </c>
      <c r="F391" t="str">
        <f>"30/58"</f>
        <v>30/58</v>
      </c>
      <c r="G391" t="s">
        <v>175</v>
      </c>
      <c r="H391" t="s">
        <v>176</v>
      </c>
      <c r="I391">
        <v>33.36</v>
      </c>
    </row>
    <row r="392" spans="1:9" ht="12.75">
      <c r="A392">
        <v>387</v>
      </c>
      <c r="B392" t="s">
        <v>177</v>
      </c>
      <c r="C392" t="s">
        <v>2906</v>
      </c>
      <c r="D392" t="s">
        <v>2780</v>
      </c>
      <c r="E392" t="s">
        <v>2818</v>
      </c>
      <c r="F392" t="str">
        <f>"47/307"</f>
        <v>47/307</v>
      </c>
      <c r="G392" t="s">
        <v>3067</v>
      </c>
      <c r="H392" t="s">
        <v>178</v>
      </c>
      <c r="I392">
        <v>33.36</v>
      </c>
    </row>
    <row r="393" spans="1:9" ht="12.75">
      <c r="A393">
        <v>388</v>
      </c>
      <c r="B393" t="s">
        <v>179</v>
      </c>
      <c r="C393" t="s">
        <v>2830</v>
      </c>
      <c r="D393" t="s">
        <v>2780</v>
      </c>
      <c r="E393" t="s">
        <v>2823</v>
      </c>
      <c r="F393" t="str">
        <f>"130/504"</f>
        <v>130/504</v>
      </c>
      <c r="G393" t="s">
        <v>180</v>
      </c>
      <c r="H393" t="s">
        <v>181</v>
      </c>
      <c r="I393">
        <v>33.35</v>
      </c>
    </row>
    <row r="394" spans="1:9" ht="12.75">
      <c r="A394">
        <v>389</v>
      </c>
      <c r="B394" t="s">
        <v>182</v>
      </c>
      <c r="C394" t="s">
        <v>3057</v>
      </c>
      <c r="D394" t="s">
        <v>2780</v>
      </c>
      <c r="E394" t="s">
        <v>2973</v>
      </c>
      <c r="F394" t="str">
        <f>"17/167"</f>
        <v>17/167</v>
      </c>
      <c r="G394" t="s">
        <v>183</v>
      </c>
      <c r="H394" t="s">
        <v>184</v>
      </c>
      <c r="I394">
        <v>33.35</v>
      </c>
    </row>
    <row r="395" spans="1:9" ht="12.75">
      <c r="A395">
        <v>390</v>
      </c>
      <c r="B395" t="s">
        <v>3378</v>
      </c>
      <c r="C395" t="s">
        <v>185</v>
      </c>
      <c r="D395" t="s">
        <v>2780</v>
      </c>
      <c r="E395" t="s">
        <v>2823</v>
      </c>
      <c r="F395" t="str">
        <f>"131/504"</f>
        <v>131/504</v>
      </c>
      <c r="G395" t="s">
        <v>3088</v>
      </c>
      <c r="H395" t="s">
        <v>186</v>
      </c>
      <c r="I395">
        <v>33.35</v>
      </c>
    </row>
    <row r="396" spans="1:9" ht="12.75">
      <c r="A396">
        <v>391</v>
      </c>
      <c r="B396" t="s">
        <v>187</v>
      </c>
      <c r="C396" t="s">
        <v>3406</v>
      </c>
      <c r="D396" t="s">
        <v>2780</v>
      </c>
      <c r="E396" t="s">
        <v>2781</v>
      </c>
      <c r="F396" t="str">
        <f>"116/329"</f>
        <v>116/329</v>
      </c>
      <c r="G396" t="s">
        <v>188</v>
      </c>
      <c r="H396" t="s">
        <v>189</v>
      </c>
      <c r="I396">
        <v>33.34</v>
      </c>
    </row>
    <row r="397" spans="1:9" ht="12.75">
      <c r="A397">
        <v>392</v>
      </c>
      <c r="B397" t="s">
        <v>190</v>
      </c>
      <c r="C397" t="s">
        <v>191</v>
      </c>
      <c r="D397" t="s">
        <v>2780</v>
      </c>
      <c r="E397" t="s">
        <v>2781</v>
      </c>
      <c r="F397" t="str">
        <f>"117/329"</f>
        <v>117/329</v>
      </c>
      <c r="G397" t="s">
        <v>192</v>
      </c>
      <c r="H397" t="s">
        <v>193</v>
      </c>
      <c r="I397">
        <v>33.33</v>
      </c>
    </row>
    <row r="398" spans="1:9" ht="12.75">
      <c r="A398">
        <v>393</v>
      </c>
      <c r="B398" t="s">
        <v>194</v>
      </c>
      <c r="C398" t="s">
        <v>195</v>
      </c>
      <c r="D398" t="s">
        <v>2780</v>
      </c>
      <c r="E398" t="s">
        <v>2781</v>
      </c>
      <c r="F398" t="str">
        <f>"118/329"</f>
        <v>118/329</v>
      </c>
      <c r="G398" t="s">
        <v>2844</v>
      </c>
      <c r="H398" t="s">
        <v>196</v>
      </c>
      <c r="I398">
        <v>33.32</v>
      </c>
    </row>
    <row r="399" spans="1:9" ht="12.75">
      <c r="A399">
        <v>394</v>
      </c>
      <c r="B399" t="s">
        <v>197</v>
      </c>
      <c r="C399" t="s">
        <v>2966</v>
      </c>
      <c r="D399" t="s">
        <v>2780</v>
      </c>
      <c r="E399" t="s">
        <v>2781</v>
      </c>
      <c r="F399" t="str">
        <f>"119/329"</f>
        <v>119/329</v>
      </c>
      <c r="G399" t="s">
        <v>3067</v>
      </c>
      <c r="H399" t="s">
        <v>198</v>
      </c>
      <c r="I399">
        <v>33.32</v>
      </c>
    </row>
    <row r="400" spans="1:9" ht="12.75">
      <c r="A400">
        <v>395</v>
      </c>
      <c r="B400" t="s">
        <v>199</v>
      </c>
      <c r="C400" t="s">
        <v>3008</v>
      </c>
      <c r="D400" t="s">
        <v>2780</v>
      </c>
      <c r="E400" t="s">
        <v>2823</v>
      </c>
      <c r="F400" t="str">
        <f>"132/504"</f>
        <v>132/504</v>
      </c>
      <c r="G400" t="s">
        <v>2787</v>
      </c>
      <c r="H400" t="s">
        <v>200</v>
      </c>
      <c r="I400">
        <v>33.31</v>
      </c>
    </row>
    <row r="401" spans="1:9" ht="12.75">
      <c r="A401">
        <v>396</v>
      </c>
      <c r="B401" t="s">
        <v>201</v>
      </c>
      <c r="C401" t="s">
        <v>2865</v>
      </c>
      <c r="D401" t="s">
        <v>2780</v>
      </c>
      <c r="E401" t="s">
        <v>2823</v>
      </c>
      <c r="F401" t="str">
        <f>"133/504"</f>
        <v>133/504</v>
      </c>
      <c r="G401" t="s">
        <v>202</v>
      </c>
      <c r="H401" t="s">
        <v>203</v>
      </c>
      <c r="I401">
        <v>33.31</v>
      </c>
    </row>
    <row r="402" spans="1:9" ht="12.75">
      <c r="A402">
        <v>397</v>
      </c>
      <c r="B402" t="s">
        <v>204</v>
      </c>
      <c r="C402" t="s">
        <v>2836</v>
      </c>
      <c r="D402" t="s">
        <v>2780</v>
      </c>
      <c r="E402" t="s">
        <v>2823</v>
      </c>
      <c r="F402" t="str">
        <f>"134/504"</f>
        <v>134/504</v>
      </c>
      <c r="G402" t="s">
        <v>3067</v>
      </c>
      <c r="H402" t="s">
        <v>205</v>
      </c>
      <c r="I402">
        <v>33.31</v>
      </c>
    </row>
    <row r="403" spans="1:9" ht="12.75">
      <c r="A403">
        <v>398</v>
      </c>
      <c r="B403" t="s">
        <v>206</v>
      </c>
      <c r="C403" t="s">
        <v>2798</v>
      </c>
      <c r="D403" t="s">
        <v>2780</v>
      </c>
      <c r="E403" t="s">
        <v>2823</v>
      </c>
      <c r="F403" t="str">
        <f>"135/504"</f>
        <v>135/504</v>
      </c>
      <c r="G403" t="s">
        <v>3206</v>
      </c>
      <c r="H403" t="s">
        <v>207</v>
      </c>
      <c r="I403">
        <v>33.3</v>
      </c>
    </row>
    <row r="404" spans="1:9" ht="12.75">
      <c r="A404">
        <v>399</v>
      </c>
      <c r="B404" t="s">
        <v>208</v>
      </c>
      <c r="C404" t="s">
        <v>3219</v>
      </c>
      <c r="D404" t="s">
        <v>2780</v>
      </c>
      <c r="E404" t="s">
        <v>2781</v>
      </c>
      <c r="F404" t="str">
        <f>"120/329"</f>
        <v>120/329</v>
      </c>
      <c r="G404" t="s">
        <v>209</v>
      </c>
      <c r="H404" t="s">
        <v>210</v>
      </c>
      <c r="I404">
        <v>33.3</v>
      </c>
    </row>
    <row r="405" spans="1:9" ht="12.75">
      <c r="A405">
        <v>400</v>
      </c>
      <c r="B405" t="s">
        <v>211</v>
      </c>
      <c r="C405" t="s">
        <v>3560</v>
      </c>
      <c r="D405" t="s">
        <v>2780</v>
      </c>
      <c r="E405" t="s">
        <v>2823</v>
      </c>
      <c r="F405" t="str">
        <f>"136/504"</f>
        <v>136/504</v>
      </c>
      <c r="G405" t="s">
        <v>212</v>
      </c>
      <c r="H405" t="s">
        <v>213</v>
      </c>
      <c r="I405">
        <v>33.29</v>
      </c>
    </row>
    <row r="406" spans="1:9" ht="12.75">
      <c r="A406">
        <v>401</v>
      </c>
      <c r="B406" t="s">
        <v>214</v>
      </c>
      <c r="C406" t="s">
        <v>3576</v>
      </c>
      <c r="D406" t="s">
        <v>2780</v>
      </c>
      <c r="E406" t="s">
        <v>2823</v>
      </c>
      <c r="F406" t="str">
        <f>"137/504"</f>
        <v>137/504</v>
      </c>
      <c r="G406" t="s">
        <v>215</v>
      </c>
      <c r="H406" t="s">
        <v>216</v>
      </c>
      <c r="I406">
        <v>33.28</v>
      </c>
    </row>
    <row r="407" spans="1:9" ht="12.75">
      <c r="A407">
        <v>402</v>
      </c>
      <c r="B407" t="s">
        <v>217</v>
      </c>
      <c r="C407" t="s">
        <v>3488</v>
      </c>
      <c r="D407" t="s">
        <v>2780</v>
      </c>
      <c r="E407" t="s">
        <v>2823</v>
      </c>
      <c r="F407" t="str">
        <f>"138/504"</f>
        <v>138/504</v>
      </c>
      <c r="G407" t="s">
        <v>3289</v>
      </c>
      <c r="H407" t="s">
        <v>218</v>
      </c>
      <c r="I407">
        <v>33.26</v>
      </c>
    </row>
    <row r="408" spans="1:9" ht="12.75">
      <c r="A408">
        <v>403</v>
      </c>
      <c r="B408" t="s">
        <v>3378</v>
      </c>
      <c r="C408" t="s">
        <v>2966</v>
      </c>
      <c r="D408" t="s">
        <v>2780</v>
      </c>
      <c r="E408" t="s">
        <v>2781</v>
      </c>
      <c r="F408" t="str">
        <f>"121/329"</f>
        <v>121/329</v>
      </c>
      <c r="G408" t="s">
        <v>3289</v>
      </c>
      <c r="H408" t="s">
        <v>219</v>
      </c>
      <c r="I408">
        <v>33.24</v>
      </c>
    </row>
    <row r="409" spans="1:9" ht="12.75">
      <c r="A409">
        <v>404</v>
      </c>
      <c r="B409" t="s">
        <v>3378</v>
      </c>
      <c r="C409" t="s">
        <v>2966</v>
      </c>
      <c r="D409" t="s">
        <v>2780</v>
      </c>
      <c r="E409" t="s">
        <v>2823</v>
      </c>
      <c r="F409" t="str">
        <f>"139/504"</f>
        <v>139/504</v>
      </c>
      <c r="G409" t="s">
        <v>2787</v>
      </c>
      <c r="H409" t="s">
        <v>220</v>
      </c>
      <c r="I409">
        <v>33.23</v>
      </c>
    </row>
    <row r="410" spans="1:9" ht="12.75">
      <c r="A410">
        <v>405</v>
      </c>
      <c r="B410" t="s">
        <v>221</v>
      </c>
      <c r="C410" t="s">
        <v>2807</v>
      </c>
      <c r="D410" t="s">
        <v>2780</v>
      </c>
      <c r="E410" t="s">
        <v>2786</v>
      </c>
      <c r="F410" t="str">
        <f>"31/58"</f>
        <v>31/58</v>
      </c>
      <c r="G410" t="s">
        <v>2994</v>
      </c>
      <c r="H410" t="s">
        <v>222</v>
      </c>
      <c r="I410">
        <v>33.21</v>
      </c>
    </row>
    <row r="411" spans="1:9" ht="12.75">
      <c r="A411">
        <v>406</v>
      </c>
      <c r="B411" t="s">
        <v>3074</v>
      </c>
      <c r="C411" t="s">
        <v>3421</v>
      </c>
      <c r="D411" t="s">
        <v>2780</v>
      </c>
      <c r="E411" t="s">
        <v>2818</v>
      </c>
      <c r="F411" t="str">
        <f>"48/307"</f>
        <v>48/307</v>
      </c>
      <c r="G411" t="s">
        <v>3662</v>
      </c>
      <c r="H411" t="s">
        <v>223</v>
      </c>
      <c r="I411">
        <v>33.19</v>
      </c>
    </row>
    <row r="412" spans="1:9" ht="12.75">
      <c r="A412">
        <v>407</v>
      </c>
      <c r="B412" t="s">
        <v>224</v>
      </c>
      <c r="C412" t="s">
        <v>2836</v>
      </c>
      <c r="D412" t="s">
        <v>2780</v>
      </c>
      <c r="E412" t="s">
        <v>2786</v>
      </c>
      <c r="F412" t="str">
        <f>"32/58"</f>
        <v>32/58</v>
      </c>
      <c r="G412" t="s">
        <v>225</v>
      </c>
      <c r="H412" t="s">
        <v>226</v>
      </c>
      <c r="I412">
        <v>33.19</v>
      </c>
    </row>
    <row r="413" spans="1:9" ht="12.75">
      <c r="A413">
        <v>408</v>
      </c>
      <c r="B413" t="s">
        <v>227</v>
      </c>
      <c r="C413" t="s">
        <v>2861</v>
      </c>
      <c r="D413" t="s">
        <v>2780</v>
      </c>
      <c r="E413" t="s">
        <v>2818</v>
      </c>
      <c r="F413" t="str">
        <f>"49/307"</f>
        <v>49/307</v>
      </c>
      <c r="G413" t="s">
        <v>228</v>
      </c>
      <c r="H413" t="s">
        <v>229</v>
      </c>
      <c r="I413">
        <v>33.19</v>
      </c>
    </row>
    <row r="414" spans="1:9" ht="12.75">
      <c r="A414">
        <v>409</v>
      </c>
      <c r="B414" t="s">
        <v>230</v>
      </c>
      <c r="C414" t="s">
        <v>231</v>
      </c>
      <c r="D414" t="s">
        <v>2780</v>
      </c>
      <c r="E414" t="s">
        <v>2781</v>
      </c>
      <c r="F414" t="str">
        <f>"122/329"</f>
        <v>122/329</v>
      </c>
      <c r="G414" t="s">
        <v>3236</v>
      </c>
      <c r="H414" t="s">
        <v>232</v>
      </c>
      <c r="I414">
        <v>33.17</v>
      </c>
    </row>
    <row r="415" spans="1:9" ht="12.75">
      <c r="A415">
        <v>410</v>
      </c>
      <c r="B415" t="s">
        <v>233</v>
      </c>
      <c r="C415" t="s">
        <v>3464</v>
      </c>
      <c r="D415" t="s">
        <v>2780</v>
      </c>
      <c r="E415" t="s">
        <v>2973</v>
      </c>
      <c r="F415" t="str">
        <f>"18/167"</f>
        <v>18/167</v>
      </c>
      <c r="G415" t="s">
        <v>234</v>
      </c>
      <c r="H415" t="s">
        <v>235</v>
      </c>
      <c r="I415">
        <v>33.17</v>
      </c>
    </row>
    <row r="416" spans="1:9" ht="12.75">
      <c r="A416">
        <v>411</v>
      </c>
      <c r="B416" t="s">
        <v>236</v>
      </c>
      <c r="C416" t="s">
        <v>237</v>
      </c>
      <c r="D416" t="s">
        <v>2780</v>
      </c>
      <c r="E416" t="s">
        <v>2823</v>
      </c>
      <c r="F416" t="str">
        <f>"140/504"</f>
        <v>140/504</v>
      </c>
      <c r="G416" t="s">
        <v>2920</v>
      </c>
      <c r="H416" t="s">
        <v>238</v>
      </c>
      <c r="I416">
        <v>33.14</v>
      </c>
    </row>
    <row r="417" spans="1:9" ht="12.75">
      <c r="A417">
        <v>412</v>
      </c>
      <c r="B417" t="s">
        <v>239</v>
      </c>
      <c r="C417" t="s">
        <v>240</v>
      </c>
      <c r="D417" t="s">
        <v>2780</v>
      </c>
      <c r="E417" t="s">
        <v>2973</v>
      </c>
      <c r="F417" t="str">
        <f>"19/167"</f>
        <v>19/167</v>
      </c>
      <c r="G417" t="s">
        <v>2844</v>
      </c>
      <c r="H417" t="s">
        <v>241</v>
      </c>
      <c r="I417">
        <v>33.13</v>
      </c>
    </row>
    <row r="418" spans="1:9" ht="12.75">
      <c r="A418">
        <v>413</v>
      </c>
      <c r="B418" t="s">
        <v>242</v>
      </c>
      <c r="C418" t="s">
        <v>2966</v>
      </c>
      <c r="D418" t="s">
        <v>2780</v>
      </c>
      <c r="E418" t="s">
        <v>2781</v>
      </c>
      <c r="F418" t="str">
        <f>"123/329"</f>
        <v>123/329</v>
      </c>
      <c r="G418" t="s">
        <v>2787</v>
      </c>
      <c r="H418" t="s">
        <v>243</v>
      </c>
      <c r="I418">
        <v>33.13</v>
      </c>
    </row>
    <row r="419" spans="1:9" ht="12.75">
      <c r="A419">
        <v>414</v>
      </c>
      <c r="B419" t="s">
        <v>244</v>
      </c>
      <c r="C419" t="s">
        <v>245</v>
      </c>
      <c r="D419" t="s">
        <v>3031</v>
      </c>
      <c r="E419" t="s">
        <v>3244</v>
      </c>
      <c r="F419" t="str">
        <f>"3/63"</f>
        <v>3/63</v>
      </c>
      <c r="G419" t="s">
        <v>2787</v>
      </c>
      <c r="H419" t="s">
        <v>246</v>
      </c>
      <c r="I419">
        <v>33.13</v>
      </c>
    </row>
    <row r="420" spans="1:9" ht="12.75">
      <c r="A420">
        <v>415</v>
      </c>
      <c r="B420" t="s">
        <v>247</v>
      </c>
      <c r="C420" t="s">
        <v>2807</v>
      </c>
      <c r="D420" t="s">
        <v>2780</v>
      </c>
      <c r="E420" t="s">
        <v>2799</v>
      </c>
      <c r="F420" t="str">
        <f>"35/99"</f>
        <v>35/99</v>
      </c>
      <c r="G420" t="s">
        <v>3046</v>
      </c>
      <c r="H420" t="s">
        <v>248</v>
      </c>
      <c r="I420">
        <v>33.09</v>
      </c>
    </row>
    <row r="421" spans="1:9" ht="12.75">
      <c r="A421">
        <v>416</v>
      </c>
      <c r="B421" t="s">
        <v>249</v>
      </c>
      <c r="C421" t="s">
        <v>2836</v>
      </c>
      <c r="D421" t="s">
        <v>2780</v>
      </c>
      <c r="E421" t="s">
        <v>2823</v>
      </c>
      <c r="F421" t="str">
        <f>"141/504"</f>
        <v>141/504</v>
      </c>
      <c r="G421" t="s">
        <v>250</v>
      </c>
      <c r="H421" t="s">
        <v>251</v>
      </c>
      <c r="I421">
        <v>33.08</v>
      </c>
    </row>
    <row r="422" spans="1:9" ht="12.75">
      <c r="A422">
        <v>417</v>
      </c>
      <c r="B422" t="s">
        <v>252</v>
      </c>
      <c r="C422" t="s">
        <v>253</v>
      </c>
      <c r="D422" t="s">
        <v>3031</v>
      </c>
      <c r="E422" t="s">
        <v>3032</v>
      </c>
      <c r="F422" t="str">
        <f>"9/54"</f>
        <v>9/54</v>
      </c>
      <c r="G422" t="s">
        <v>250</v>
      </c>
      <c r="H422" t="s">
        <v>254</v>
      </c>
      <c r="I422">
        <v>33.08</v>
      </c>
    </row>
    <row r="423" spans="1:9" ht="12.75">
      <c r="A423">
        <v>418</v>
      </c>
      <c r="B423" t="s">
        <v>255</v>
      </c>
      <c r="C423" t="s">
        <v>256</v>
      </c>
      <c r="D423" t="s">
        <v>2780</v>
      </c>
      <c r="E423" t="s">
        <v>2973</v>
      </c>
      <c r="F423" t="str">
        <f>"20/167"</f>
        <v>20/167</v>
      </c>
      <c r="G423" t="s">
        <v>3046</v>
      </c>
      <c r="H423" t="s">
        <v>257</v>
      </c>
      <c r="I423">
        <v>33.08</v>
      </c>
    </row>
    <row r="424" spans="1:9" ht="12.75">
      <c r="A424">
        <v>419</v>
      </c>
      <c r="B424" t="s">
        <v>258</v>
      </c>
      <c r="C424" t="s">
        <v>2857</v>
      </c>
      <c r="D424" t="s">
        <v>2780</v>
      </c>
      <c r="E424" t="s">
        <v>2823</v>
      </c>
      <c r="F424" t="str">
        <f>"142/504"</f>
        <v>142/504</v>
      </c>
      <c r="G424" t="s">
        <v>3261</v>
      </c>
      <c r="H424" t="s">
        <v>259</v>
      </c>
      <c r="I424">
        <v>33.08</v>
      </c>
    </row>
    <row r="425" spans="1:9" ht="12.75">
      <c r="A425">
        <v>420</v>
      </c>
      <c r="B425" t="s">
        <v>260</v>
      </c>
      <c r="C425" t="s">
        <v>3114</v>
      </c>
      <c r="D425" t="s">
        <v>2780</v>
      </c>
      <c r="E425" t="s">
        <v>2781</v>
      </c>
      <c r="F425" t="str">
        <f>"124/329"</f>
        <v>124/329</v>
      </c>
      <c r="G425" t="s">
        <v>261</v>
      </c>
      <c r="H425" t="s">
        <v>262</v>
      </c>
      <c r="I425">
        <v>33.05</v>
      </c>
    </row>
    <row r="426" spans="1:9" ht="12.75">
      <c r="A426">
        <v>421</v>
      </c>
      <c r="B426" t="s">
        <v>3097</v>
      </c>
      <c r="C426" t="s">
        <v>2963</v>
      </c>
      <c r="D426" t="s">
        <v>2780</v>
      </c>
      <c r="E426" t="s">
        <v>2799</v>
      </c>
      <c r="F426" t="str">
        <f>"36/99"</f>
        <v>36/99</v>
      </c>
      <c r="G426" t="s">
        <v>3099</v>
      </c>
      <c r="H426" t="s">
        <v>263</v>
      </c>
      <c r="I426">
        <v>33.03</v>
      </c>
    </row>
    <row r="427" spans="1:9" ht="12.75">
      <c r="A427">
        <v>422</v>
      </c>
      <c r="B427" t="s">
        <v>264</v>
      </c>
      <c r="C427" t="s">
        <v>265</v>
      </c>
      <c r="D427" t="s">
        <v>2780</v>
      </c>
      <c r="E427" t="s">
        <v>2818</v>
      </c>
      <c r="F427" t="str">
        <f>"50/307"</f>
        <v>50/307</v>
      </c>
      <c r="G427" t="s">
        <v>3049</v>
      </c>
      <c r="H427" t="s">
        <v>266</v>
      </c>
      <c r="I427">
        <v>33.02</v>
      </c>
    </row>
    <row r="428" spans="1:9" ht="12.75">
      <c r="A428">
        <v>423</v>
      </c>
      <c r="B428" t="s">
        <v>267</v>
      </c>
      <c r="C428" t="s">
        <v>2836</v>
      </c>
      <c r="D428" t="s">
        <v>2780</v>
      </c>
      <c r="E428" t="s">
        <v>2818</v>
      </c>
      <c r="F428" t="str">
        <f>"51/307"</f>
        <v>51/307</v>
      </c>
      <c r="G428" t="s">
        <v>268</v>
      </c>
      <c r="H428" t="s">
        <v>269</v>
      </c>
      <c r="I428">
        <v>33.02</v>
      </c>
    </row>
    <row r="429" spans="1:9" ht="12.75">
      <c r="A429">
        <v>424</v>
      </c>
      <c r="B429" t="s">
        <v>270</v>
      </c>
      <c r="C429" t="s">
        <v>2840</v>
      </c>
      <c r="D429" t="s">
        <v>2780</v>
      </c>
      <c r="E429" t="s">
        <v>2823</v>
      </c>
      <c r="F429" t="str">
        <f>"143/504"</f>
        <v>143/504</v>
      </c>
      <c r="G429" t="s">
        <v>2787</v>
      </c>
      <c r="H429" t="s">
        <v>271</v>
      </c>
      <c r="I429">
        <v>33.02</v>
      </c>
    </row>
    <row r="430" spans="1:9" ht="12.75">
      <c r="A430">
        <v>425</v>
      </c>
      <c r="B430" t="s">
        <v>272</v>
      </c>
      <c r="C430" t="s">
        <v>3045</v>
      </c>
      <c r="D430" t="s">
        <v>2780</v>
      </c>
      <c r="E430" t="s">
        <v>2781</v>
      </c>
      <c r="F430" t="str">
        <f>"126/329"</f>
        <v>126/329</v>
      </c>
      <c r="G430" t="s">
        <v>2844</v>
      </c>
      <c r="H430" t="s">
        <v>273</v>
      </c>
      <c r="I430">
        <v>33.02</v>
      </c>
    </row>
    <row r="431" spans="1:9" ht="12.75">
      <c r="A431">
        <v>426</v>
      </c>
      <c r="B431" t="s">
        <v>274</v>
      </c>
      <c r="C431" t="s">
        <v>2942</v>
      </c>
      <c r="D431" t="s">
        <v>2780</v>
      </c>
      <c r="E431" t="s">
        <v>2781</v>
      </c>
      <c r="F431" t="str">
        <f>"125/329"</f>
        <v>125/329</v>
      </c>
      <c r="G431" t="s">
        <v>3472</v>
      </c>
      <c r="H431" t="s">
        <v>273</v>
      </c>
      <c r="I431">
        <v>33.02</v>
      </c>
    </row>
    <row r="432" spans="1:9" ht="12.75">
      <c r="A432">
        <v>427</v>
      </c>
      <c r="B432" t="s">
        <v>275</v>
      </c>
      <c r="C432" t="s">
        <v>276</v>
      </c>
      <c r="D432" t="s">
        <v>3031</v>
      </c>
      <c r="E432" t="s">
        <v>3244</v>
      </c>
      <c r="F432" t="str">
        <f>"4/63"</f>
        <v>4/63</v>
      </c>
      <c r="G432" t="s">
        <v>2844</v>
      </c>
      <c r="H432" t="s">
        <v>277</v>
      </c>
      <c r="I432">
        <v>33.02</v>
      </c>
    </row>
    <row r="433" spans="1:9" ht="12.75">
      <c r="A433">
        <v>428</v>
      </c>
      <c r="B433" t="s">
        <v>278</v>
      </c>
      <c r="C433" t="s">
        <v>3114</v>
      </c>
      <c r="D433" t="s">
        <v>2780</v>
      </c>
      <c r="E433" t="s">
        <v>2799</v>
      </c>
      <c r="F433" t="str">
        <f>"37/99"</f>
        <v>37/99</v>
      </c>
      <c r="G433" t="s">
        <v>3088</v>
      </c>
      <c r="H433" t="s">
        <v>279</v>
      </c>
      <c r="I433">
        <v>33.01</v>
      </c>
    </row>
    <row r="434" spans="1:9" ht="12.75">
      <c r="A434">
        <v>429</v>
      </c>
      <c r="B434" t="s">
        <v>280</v>
      </c>
      <c r="C434" t="s">
        <v>3286</v>
      </c>
      <c r="D434" t="s">
        <v>2780</v>
      </c>
      <c r="E434" t="s">
        <v>2781</v>
      </c>
      <c r="F434" t="str">
        <f>"127/329"</f>
        <v>127/329</v>
      </c>
      <c r="G434" t="s">
        <v>281</v>
      </c>
      <c r="H434" t="s">
        <v>282</v>
      </c>
      <c r="I434">
        <v>33.01</v>
      </c>
    </row>
    <row r="435" spans="1:9" ht="12.75">
      <c r="A435">
        <v>430</v>
      </c>
      <c r="B435" t="s">
        <v>283</v>
      </c>
      <c r="C435" t="s">
        <v>284</v>
      </c>
      <c r="D435" t="s">
        <v>2780</v>
      </c>
      <c r="E435" t="s">
        <v>2781</v>
      </c>
      <c r="F435" t="str">
        <f>"128/329"</f>
        <v>128/329</v>
      </c>
      <c r="G435" t="s">
        <v>3046</v>
      </c>
      <c r="H435" t="s">
        <v>285</v>
      </c>
      <c r="I435">
        <v>33.01</v>
      </c>
    </row>
    <row r="436" spans="1:9" ht="12.75">
      <c r="A436">
        <v>431</v>
      </c>
      <c r="B436" t="s">
        <v>286</v>
      </c>
      <c r="C436" t="s">
        <v>84</v>
      </c>
      <c r="D436" t="s">
        <v>2780</v>
      </c>
      <c r="E436" t="s">
        <v>2818</v>
      </c>
      <c r="F436" t="str">
        <f>"52/307"</f>
        <v>52/307</v>
      </c>
      <c r="G436" t="s">
        <v>287</v>
      </c>
      <c r="H436" t="s">
        <v>288</v>
      </c>
      <c r="I436">
        <v>33</v>
      </c>
    </row>
    <row r="437" spans="1:9" ht="12.75">
      <c r="A437">
        <v>432</v>
      </c>
      <c r="B437" t="s">
        <v>289</v>
      </c>
      <c r="C437" t="s">
        <v>2966</v>
      </c>
      <c r="D437" t="s">
        <v>2780</v>
      </c>
      <c r="E437" t="s">
        <v>2823</v>
      </c>
      <c r="F437" t="str">
        <f>"144/504"</f>
        <v>144/504</v>
      </c>
      <c r="G437" t="s">
        <v>3060</v>
      </c>
      <c r="H437" t="s">
        <v>290</v>
      </c>
      <c r="I437">
        <v>32.99</v>
      </c>
    </row>
    <row r="438" spans="1:9" ht="12.75">
      <c r="A438">
        <v>433</v>
      </c>
      <c r="B438" t="s">
        <v>291</v>
      </c>
      <c r="C438" t="s">
        <v>2966</v>
      </c>
      <c r="D438" t="s">
        <v>2780</v>
      </c>
      <c r="E438" t="s">
        <v>2823</v>
      </c>
      <c r="F438" t="str">
        <f>"145/504"</f>
        <v>145/504</v>
      </c>
      <c r="G438" t="s">
        <v>3338</v>
      </c>
      <c r="H438" t="s">
        <v>292</v>
      </c>
      <c r="I438">
        <v>32.99</v>
      </c>
    </row>
    <row r="439" spans="1:9" ht="12.75">
      <c r="A439">
        <v>434</v>
      </c>
      <c r="B439" t="s">
        <v>3474</v>
      </c>
      <c r="C439" t="s">
        <v>293</v>
      </c>
      <c r="D439" t="s">
        <v>3031</v>
      </c>
      <c r="E439" t="s">
        <v>3032</v>
      </c>
      <c r="F439" t="str">
        <f>"10/54"</f>
        <v>10/54</v>
      </c>
      <c r="G439" t="s">
        <v>294</v>
      </c>
      <c r="H439" t="s">
        <v>295</v>
      </c>
      <c r="I439">
        <v>32.98</v>
      </c>
    </row>
    <row r="440" spans="1:9" ht="12.75">
      <c r="A440">
        <v>435</v>
      </c>
      <c r="B440" t="s">
        <v>296</v>
      </c>
      <c r="C440" t="s">
        <v>3346</v>
      </c>
      <c r="D440" t="s">
        <v>2780</v>
      </c>
      <c r="E440" t="s">
        <v>2799</v>
      </c>
      <c r="F440" t="str">
        <f>"38/99"</f>
        <v>38/99</v>
      </c>
      <c r="G440" t="s">
        <v>297</v>
      </c>
      <c r="H440" t="s">
        <v>298</v>
      </c>
      <c r="I440">
        <v>32.98</v>
      </c>
    </row>
    <row r="441" spans="1:9" ht="12.75">
      <c r="A441">
        <v>436</v>
      </c>
      <c r="B441" t="s">
        <v>299</v>
      </c>
      <c r="C441" t="s">
        <v>3008</v>
      </c>
      <c r="D441" t="s">
        <v>2780</v>
      </c>
      <c r="E441" t="s">
        <v>2781</v>
      </c>
      <c r="F441" t="str">
        <f>"129/329"</f>
        <v>129/329</v>
      </c>
      <c r="G441" t="s">
        <v>3022</v>
      </c>
      <c r="H441" t="s">
        <v>300</v>
      </c>
      <c r="I441">
        <v>32.97</v>
      </c>
    </row>
    <row r="442" spans="1:9" ht="12.75">
      <c r="A442">
        <v>437</v>
      </c>
      <c r="B442" t="s">
        <v>301</v>
      </c>
      <c r="C442" t="s">
        <v>109</v>
      </c>
      <c r="D442" t="s">
        <v>2780</v>
      </c>
      <c r="E442" t="s">
        <v>2823</v>
      </c>
      <c r="F442" t="str">
        <f>"146/504"</f>
        <v>146/504</v>
      </c>
      <c r="G442" t="s">
        <v>302</v>
      </c>
      <c r="H442" t="s">
        <v>303</v>
      </c>
      <c r="I442">
        <v>32.97</v>
      </c>
    </row>
    <row r="443" spans="1:9" ht="12.75">
      <c r="A443">
        <v>438</v>
      </c>
      <c r="B443" t="s">
        <v>304</v>
      </c>
      <c r="C443" t="s">
        <v>2817</v>
      </c>
      <c r="D443" t="s">
        <v>2780</v>
      </c>
      <c r="E443" t="s">
        <v>2823</v>
      </c>
      <c r="F443" t="str">
        <f>"147/504"</f>
        <v>147/504</v>
      </c>
      <c r="G443" t="s">
        <v>305</v>
      </c>
      <c r="H443" t="s">
        <v>306</v>
      </c>
      <c r="I443">
        <v>32.97</v>
      </c>
    </row>
    <row r="444" spans="1:9" ht="12.75">
      <c r="A444">
        <v>439</v>
      </c>
      <c r="B444" t="s">
        <v>307</v>
      </c>
      <c r="C444" t="s">
        <v>3008</v>
      </c>
      <c r="D444" t="s">
        <v>2780</v>
      </c>
      <c r="E444" t="s">
        <v>2781</v>
      </c>
      <c r="F444" t="str">
        <f>"130/329"</f>
        <v>130/329</v>
      </c>
      <c r="G444" t="s">
        <v>308</v>
      </c>
      <c r="H444" t="s">
        <v>309</v>
      </c>
      <c r="I444">
        <v>32.96</v>
      </c>
    </row>
    <row r="445" spans="1:9" ht="12.75">
      <c r="A445">
        <v>440</v>
      </c>
      <c r="B445" t="s">
        <v>310</v>
      </c>
      <c r="C445" t="s">
        <v>311</v>
      </c>
      <c r="D445" t="s">
        <v>2780</v>
      </c>
      <c r="E445" t="s">
        <v>2823</v>
      </c>
      <c r="F445" t="str">
        <f>"148/504"</f>
        <v>148/504</v>
      </c>
      <c r="G445" t="s">
        <v>312</v>
      </c>
      <c r="H445" t="s">
        <v>313</v>
      </c>
      <c r="I445">
        <v>32.95</v>
      </c>
    </row>
    <row r="446" spans="1:9" ht="12.75">
      <c r="A446">
        <v>441</v>
      </c>
      <c r="B446" t="s">
        <v>3227</v>
      </c>
      <c r="C446" t="s">
        <v>2830</v>
      </c>
      <c r="D446" t="s">
        <v>2780</v>
      </c>
      <c r="E446" t="s">
        <v>2818</v>
      </c>
      <c r="F446" t="str">
        <f>"53/307"</f>
        <v>53/307</v>
      </c>
      <c r="G446" t="s">
        <v>314</v>
      </c>
      <c r="H446" t="s">
        <v>315</v>
      </c>
      <c r="I446">
        <v>32.94</v>
      </c>
    </row>
    <row r="447" spans="1:9" ht="12.75">
      <c r="A447">
        <v>442</v>
      </c>
      <c r="B447" t="s">
        <v>2990</v>
      </c>
      <c r="C447" t="s">
        <v>2865</v>
      </c>
      <c r="D447" t="s">
        <v>2780</v>
      </c>
      <c r="E447" t="s">
        <v>2823</v>
      </c>
      <c r="F447" t="str">
        <f>"149/504"</f>
        <v>149/504</v>
      </c>
      <c r="G447" t="s">
        <v>2851</v>
      </c>
      <c r="H447" t="s">
        <v>316</v>
      </c>
      <c r="I447">
        <v>32.94</v>
      </c>
    </row>
    <row r="448" spans="1:9" ht="12.75">
      <c r="A448">
        <v>443</v>
      </c>
      <c r="B448" t="s">
        <v>317</v>
      </c>
      <c r="C448" t="s">
        <v>2836</v>
      </c>
      <c r="D448" t="s">
        <v>2780</v>
      </c>
      <c r="E448" t="s">
        <v>2781</v>
      </c>
      <c r="F448" t="str">
        <f>"131/329"</f>
        <v>131/329</v>
      </c>
      <c r="G448" t="s">
        <v>2936</v>
      </c>
      <c r="H448" t="s">
        <v>318</v>
      </c>
      <c r="I448">
        <v>32.93</v>
      </c>
    </row>
    <row r="449" spans="1:9" ht="12.75">
      <c r="A449">
        <v>444</v>
      </c>
      <c r="B449" t="s">
        <v>319</v>
      </c>
      <c r="C449" t="s">
        <v>2931</v>
      </c>
      <c r="D449" t="s">
        <v>2780</v>
      </c>
      <c r="E449" t="s">
        <v>2781</v>
      </c>
      <c r="F449" t="str">
        <f>"132/329"</f>
        <v>132/329</v>
      </c>
      <c r="G449" t="s">
        <v>2982</v>
      </c>
      <c r="H449" t="s">
        <v>320</v>
      </c>
      <c r="I449">
        <v>32.93</v>
      </c>
    </row>
    <row r="450" spans="1:9" ht="12.75">
      <c r="A450">
        <v>445</v>
      </c>
      <c r="B450" t="s">
        <v>321</v>
      </c>
      <c r="C450" t="s">
        <v>2836</v>
      </c>
      <c r="D450" t="s">
        <v>2780</v>
      </c>
      <c r="E450" t="s">
        <v>2818</v>
      </c>
      <c r="F450" t="str">
        <f>"54/307"</f>
        <v>54/307</v>
      </c>
      <c r="G450" t="s">
        <v>3662</v>
      </c>
      <c r="H450" t="s">
        <v>322</v>
      </c>
      <c r="I450">
        <v>32.93</v>
      </c>
    </row>
    <row r="451" spans="1:9" ht="12.75">
      <c r="A451">
        <v>446</v>
      </c>
      <c r="B451" t="s">
        <v>3097</v>
      </c>
      <c r="C451" t="s">
        <v>323</v>
      </c>
      <c r="D451" t="s">
        <v>2780</v>
      </c>
      <c r="E451" t="s">
        <v>2973</v>
      </c>
      <c r="F451" t="str">
        <f>"21/167"</f>
        <v>21/167</v>
      </c>
      <c r="G451" t="s">
        <v>3099</v>
      </c>
      <c r="H451" t="s">
        <v>324</v>
      </c>
      <c r="I451">
        <v>32.92</v>
      </c>
    </row>
    <row r="452" spans="1:9" ht="12.75">
      <c r="A452">
        <v>447</v>
      </c>
      <c r="B452" t="s">
        <v>325</v>
      </c>
      <c r="C452" t="s">
        <v>326</v>
      </c>
      <c r="D452" t="s">
        <v>3031</v>
      </c>
      <c r="E452" t="s">
        <v>3244</v>
      </c>
      <c r="F452" t="str">
        <f>"5/63"</f>
        <v>5/63</v>
      </c>
      <c r="G452" t="s">
        <v>327</v>
      </c>
      <c r="H452" t="s">
        <v>328</v>
      </c>
      <c r="I452">
        <v>32.92</v>
      </c>
    </row>
    <row r="453" spans="1:9" ht="12.75">
      <c r="A453">
        <v>448</v>
      </c>
      <c r="B453" t="s">
        <v>329</v>
      </c>
      <c r="C453" t="s">
        <v>330</v>
      </c>
      <c r="D453" t="s">
        <v>3031</v>
      </c>
      <c r="E453" t="s">
        <v>3244</v>
      </c>
      <c r="F453" t="str">
        <f>"6/63"</f>
        <v>6/63</v>
      </c>
      <c r="G453" t="s">
        <v>331</v>
      </c>
      <c r="H453" t="s">
        <v>332</v>
      </c>
      <c r="I453">
        <v>32.91</v>
      </c>
    </row>
    <row r="454" spans="1:9" ht="12.75">
      <c r="A454">
        <v>449</v>
      </c>
      <c r="B454" t="s">
        <v>2996</v>
      </c>
      <c r="C454" t="s">
        <v>2830</v>
      </c>
      <c r="D454" t="s">
        <v>2780</v>
      </c>
      <c r="E454" t="s">
        <v>2823</v>
      </c>
      <c r="F454" t="str">
        <f>"150/504"</f>
        <v>150/504</v>
      </c>
      <c r="G454" t="s">
        <v>3046</v>
      </c>
      <c r="H454" t="s">
        <v>333</v>
      </c>
      <c r="I454">
        <v>32.91</v>
      </c>
    </row>
    <row r="455" spans="1:9" ht="12.75">
      <c r="A455">
        <v>450</v>
      </c>
      <c r="B455" t="s">
        <v>334</v>
      </c>
      <c r="C455" t="s">
        <v>335</v>
      </c>
      <c r="D455" t="s">
        <v>2780</v>
      </c>
      <c r="E455" t="s">
        <v>2818</v>
      </c>
      <c r="F455" t="str">
        <f>"55/307"</f>
        <v>55/307</v>
      </c>
      <c r="G455" t="s">
        <v>336</v>
      </c>
      <c r="H455" t="s">
        <v>337</v>
      </c>
      <c r="I455">
        <v>32.89</v>
      </c>
    </row>
    <row r="456" spans="1:9" ht="12.75">
      <c r="A456">
        <v>451</v>
      </c>
      <c r="B456" t="s">
        <v>338</v>
      </c>
      <c r="C456" t="s">
        <v>3464</v>
      </c>
      <c r="D456" t="s">
        <v>2780</v>
      </c>
      <c r="E456" t="s">
        <v>2823</v>
      </c>
      <c r="F456" t="str">
        <f>"151/504"</f>
        <v>151/504</v>
      </c>
      <c r="G456" t="s">
        <v>2974</v>
      </c>
      <c r="H456" t="s">
        <v>339</v>
      </c>
      <c r="I456">
        <v>32.88</v>
      </c>
    </row>
    <row r="457" spans="1:9" ht="12.75">
      <c r="A457">
        <v>452</v>
      </c>
      <c r="B457" t="s">
        <v>340</v>
      </c>
      <c r="C457" t="s">
        <v>341</v>
      </c>
      <c r="D457" t="s">
        <v>2780</v>
      </c>
      <c r="E457" t="s">
        <v>2781</v>
      </c>
      <c r="F457" t="str">
        <f>"133/329"</f>
        <v>133/329</v>
      </c>
      <c r="G457" t="s">
        <v>2800</v>
      </c>
      <c r="H457" t="s">
        <v>342</v>
      </c>
      <c r="I457">
        <v>32.88</v>
      </c>
    </row>
    <row r="458" spans="1:9" ht="12.75">
      <c r="A458">
        <v>453</v>
      </c>
      <c r="B458" t="s">
        <v>3378</v>
      </c>
      <c r="C458" t="s">
        <v>3219</v>
      </c>
      <c r="D458" t="s">
        <v>2780</v>
      </c>
      <c r="E458" t="s">
        <v>2786</v>
      </c>
      <c r="F458" t="str">
        <f>"33/58"</f>
        <v>33/58</v>
      </c>
      <c r="G458" t="s">
        <v>343</v>
      </c>
      <c r="H458" t="s">
        <v>344</v>
      </c>
      <c r="I458">
        <v>32.88</v>
      </c>
    </row>
    <row r="459" spans="1:9" ht="12.75">
      <c r="A459">
        <v>454</v>
      </c>
      <c r="B459" t="s">
        <v>345</v>
      </c>
      <c r="C459" t="s">
        <v>3438</v>
      </c>
      <c r="D459" t="s">
        <v>2780</v>
      </c>
      <c r="E459" t="s">
        <v>2799</v>
      </c>
      <c r="F459" t="str">
        <f>"39/99"</f>
        <v>39/99</v>
      </c>
      <c r="G459" t="s">
        <v>343</v>
      </c>
      <c r="H459" t="s">
        <v>346</v>
      </c>
      <c r="I459">
        <v>32.87</v>
      </c>
    </row>
    <row r="460" spans="1:9" ht="12.75">
      <c r="A460">
        <v>455</v>
      </c>
      <c r="B460" t="s">
        <v>347</v>
      </c>
      <c r="C460" t="s">
        <v>3594</v>
      </c>
      <c r="D460" t="s">
        <v>2780</v>
      </c>
      <c r="E460" t="s">
        <v>2818</v>
      </c>
      <c r="F460" t="str">
        <f>"56/307"</f>
        <v>56/307</v>
      </c>
      <c r="G460" t="s">
        <v>3018</v>
      </c>
      <c r="H460" t="s">
        <v>348</v>
      </c>
      <c r="I460">
        <v>32.87</v>
      </c>
    </row>
    <row r="461" spans="1:9" ht="12.75">
      <c r="A461">
        <v>456</v>
      </c>
      <c r="B461" t="s">
        <v>349</v>
      </c>
      <c r="C461" t="s">
        <v>3406</v>
      </c>
      <c r="D461" t="s">
        <v>2780</v>
      </c>
      <c r="E461" t="s">
        <v>2823</v>
      </c>
      <c r="F461" t="str">
        <f>"152/504"</f>
        <v>152/504</v>
      </c>
      <c r="G461" t="s">
        <v>350</v>
      </c>
      <c r="H461" t="s">
        <v>351</v>
      </c>
      <c r="I461">
        <v>32.87</v>
      </c>
    </row>
    <row r="462" spans="1:9" ht="12.75">
      <c r="A462">
        <v>457</v>
      </c>
      <c r="B462" t="s">
        <v>352</v>
      </c>
      <c r="C462" t="s">
        <v>353</v>
      </c>
      <c r="D462" t="s">
        <v>2780</v>
      </c>
      <c r="E462" t="s">
        <v>2818</v>
      </c>
      <c r="F462" t="str">
        <f>"57/307"</f>
        <v>57/307</v>
      </c>
      <c r="G462" t="s">
        <v>3468</v>
      </c>
      <c r="H462" t="s">
        <v>354</v>
      </c>
      <c r="I462">
        <v>32.86</v>
      </c>
    </row>
    <row r="463" spans="1:9" ht="12.75">
      <c r="A463">
        <v>458</v>
      </c>
      <c r="B463" t="s">
        <v>3105</v>
      </c>
      <c r="C463" t="s">
        <v>3164</v>
      </c>
      <c r="D463" t="s">
        <v>2780</v>
      </c>
      <c r="E463" t="s">
        <v>2823</v>
      </c>
      <c r="F463" t="str">
        <f>"153/504"</f>
        <v>153/504</v>
      </c>
      <c r="G463" t="s">
        <v>2974</v>
      </c>
      <c r="H463" t="s">
        <v>355</v>
      </c>
      <c r="I463">
        <v>32.86</v>
      </c>
    </row>
    <row r="464" spans="1:9" ht="12.75">
      <c r="A464">
        <v>459</v>
      </c>
      <c r="B464" t="s">
        <v>356</v>
      </c>
      <c r="C464" t="s">
        <v>2807</v>
      </c>
      <c r="D464" t="s">
        <v>2780</v>
      </c>
      <c r="E464" t="s">
        <v>2781</v>
      </c>
      <c r="F464" t="str">
        <f>"134/329"</f>
        <v>134/329</v>
      </c>
      <c r="G464" t="s">
        <v>3289</v>
      </c>
      <c r="H464" t="s">
        <v>357</v>
      </c>
      <c r="I464">
        <v>32.86</v>
      </c>
    </row>
    <row r="465" spans="1:9" ht="12.75">
      <c r="A465">
        <v>460</v>
      </c>
      <c r="B465" t="s">
        <v>358</v>
      </c>
      <c r="C465" t="s">
        <v>2830</v>
      </c>
      <c r="D465" t="s">
        <v>2780</v>
      </c>
      <c r="E465" t="s">
        <v>2818</v>
      </c>
      <c r="F465" t="str">
        <f>"58/307"</f>
        <v>58/307</v>
      </c>
      <c r="G465" t="s">
        <v>3168</v>
      </c>
      <c r="H465" t="s">
        <v>359</v>
      </c>
      <c r="I465">
        <v>32.85</v>
      </c>
    </row>
    <row r="466" spans="1:9" ht="12.75">
      <c r="A466">
        <v>461</v>
      </c>
      <c r="B466" t="s">
        <v>360</v>
      </c>
      <c r="C466" t="s">
        <v>2810</v>
      </c>
      <c r="D466" t="s">
        <v>2780</v>
      </c>
      <c r="E466" t="s">
        <v>2781</v>
      </c>
      <c r="F466" t="str">
        <f>"135/329"</f>
        <v>135/329</v>
      </c>
      <c r="G466" t="s">
        <v>3168</v>
      </c>
      <c r="H466" t="s">
        <v>361</v>
      </c>
      <c r="I466">
        <v>32.84</v>
      </c>
    </row>
    <row r="467" spans="1:9" ht="12.75">
      <c r="A467">
        <v>462</v>
      </c>
      <c r="B467" t="s">
        <v>362</v>
      </c>
      <c r="C467" t="s">
        <v>3141</v>
      </c>
      <c r="D467" t="s">
        <v>2780</v>
      </c>
      <c r="E467" t="s">
        <v>2823</v>
      </c>
      <c r="F467" t="str">
        <f>"154/504"</f>
        <v>154/504</v>
      </c>
      <c r="G467" t="s">
        <v>363</v>
      </c>
      <c r="H467" t="s">
        <v>364</v>
      </c>
      <c r="I467">
        <v>32.82</v>
      </c>
    </row>
    <row r="468" spans="1:9" ht="12.75">
      <c r="A468">
        <v>463</v>
      </c>
      <c r="B468" t="s">
        <v>365</v>
      </c>
      <c r="C468" t="s">
        <v>3633</v>
      </c>
      <c r="D468" t="s">
        <v>2780</v>
      </c>
      <c r="E468" t="s">
        <v>2781</v>
      </c>
      <c r="F468" t="str">
        <f>"136/329"</f>
        <v>136/329</v>
      </c>
      <c r="G468" t="s">
        <v>366</v>
      </c>
      <c r="H468" t="s">
        <v>367</v>
      </c>
      <c r="I468">
        <v>32.81</v>
      </c>
    </row>
    <row r="469" spans="1:9" ht="12.75">
      <c r="A469">
        <v>464</v>
      </c>
      <c r="B469" t="s">
        <v>368</v>
      </c>
      <c r="C469" t="s">
        <v>2810</v>
      </c>
      <c r="D469" t="s">
        <v>2780</v>
      </c>
      <c r="E469" t="s">
        <v>2786</v>
      </c>
      <c r="F469" t="str">
        <f>"34/58"</f>
        <v>34/58</v>
      </c>
      <c r="G469" t="s">
        <v>369</v>
      </c>
      <c r="H469" t="s">
        <v>370</v>
      </c>
      <c r="I469">
        <v>32.81</v>
      </c>
    </row>
    <row r="470" spans="1:9" ht="12.75">
      <c r="A470">
        <v>465</v>
      </c>
      <c r="B470" t="s">
        <v>371</v>
      </c>
      <c r="C470" t="s">
        <v>2807</v>
      </c>
      <c r="D470" t="s">
        <v>2780</v>
      </c>
      <c r="E470" t="s">
        <v>2781</v>
      </c>
      <c r="F470" t="str">
        <f>"137/329"</f>
        <v>137/329</v>
      </c>
      <c r="G470" t="s">
        <v>372</v>
      </c>
      <c r="H470" t="s">
        <v>373</v>
      </c>
      <c r="I470">
        <v>32.79</v>
      </c>
    </row>
    <row r="471" spans="1:9" ht="12.75">
      <c r="A471">
        <v>466</v>
      </c>
      <c r="B471" t="s">
        <v>374</v>
      </c>
      <c r="C471" t="s">
        <v>375</v>
      </c>
      <c r="D471" t="s">
        <v>2780</v>
      </c>
      <c r="E471" t="s">
        <v>2818</v>
      </c>
      <c r="F471" t="str">
        <f>"59/307"</f>
        <v>59/307</v>
      </c>
      <c r="G471" t="s">
        <v>3468</v>
      </c>
      <c r="H471" t="s">
        <v>376</v>
      </c>
      <c r="I471">
        <v>32.77</v>
      </c>
    </row>
    <row r="472" spans="1:9" ht="12.75">
      <c r="A472">
        <v>467</v>
      </c>
      <c r="B472" t="s">
        <v>3575</v>
      </c>
      <c r="C472" t="s">
        <v>2857</v>
      </c>
      <c r="D472" t="s">
        <v>2780</v>
      </c>
      <c r="E472" t="s">
        <v>2818</v>
      </c>
      <c r="F472" t="str">
        <f>"60/307"</f>
        <v>60/307</v>
      </c>
      <c r="G472" t="s">
        <v>377</v>
      </c>
      <c r="H472" t="s">
        <v>378</v>
      </c>
      <c r="I472">
        <v>32.75</v>
      </c>
    </row>
    <row r="473" spans="1:9" ht="12.75">
      <c r="A473">
        <v>468</v>
      </c>
      <c r="B473" t="s">
        <v>379</v>
      </c>
      <c r="C473" t="s">
        <v>2942</v>
      </c>
      <c r="D473" t="s">
        <v>2780</v>
      </c>
      <c r="E473" t="s">
        <v>2823</v>
      </c>
      <c r="F473" t="str">
        <f>"155/504"</f>
        <v>155/504</v>
      </c>
      <c r="G473" t="s">
        <v>366</v>
      </c>
      <c r="H473" t="s">
        <v>380</v>
      </c>
      <c r="I473">
        <v>32.74</v>
      </c>
    </row>
    <row r="474" spans="1:9" ht="12.75">
      <c r="A474">
        <v>469</v>
      </c>
      <c r="B474" t="s">
        <v>381</v>
      </c>
      <c r="C474" t="s">
        <v>3560</v>
      </c>
      <c r="D474" t="s">
        <v>2780</v>
      </c>
      <c r="E474" t="s">
        <v>2823</v>
      </c>
      <c r="F474" t="str">
        <f>"156/504"</f>
        <v>156/504</v>
      </c>
      <c r="G474" t="s">
        <v>382</v>
      </c>
      <c r="H474" t="s">
        <v>383</v>
      </c>
      <c r="I474">
        <v>32.72</v>
      </c>
    </row>
    <row r="475" spans="1:9" ht="12.75">
      <c r="A475">
        <v>470</v>
      </c>
      <c r="B475" t="s">
        <v>286</v>
      </c>
      <c r="C475" t="s">
        <v>2836</v>
      </c>
      <c r="D475" t="s">
        <v>2780</v>
      </c>
      <c r="E475" t="s">
        <v>2823</v>
      </c>
      <c r="F475" t="str">
        <f>"157/504"</f>
        <v>157/504</v>
      </c>
      <c r="G475" t="s">
        <v>384</v>
      </c>
      <c r="H475" t="s">
        <v>385</v>
      </c>
      <c r="I475">
        <v>32.71</v>
      </c>
    </row>
    <row r="476" spans="1:9" ht="12.75">
      <c r="A476">
        <v>471</v>
      </c>
      <c r="B476" t="s">
        <v>386</v>
      </c>
      <c r="C476" t="s">
        <v>3174</v>
      </c>
      <c r="D476" t="s">
        <v>2780</v>
      </c>
      <c r="E476" t="s">
        <v>2818</v>
      </c>
      <c r="F476" t="str">
        <f>"61/307"</f>
        <v>61/307</v>
      </c>
      <c r="G476" t="s">
        <v>3315</v>
      </c>
      <c r="H476" t="s">
        <v>387</v>
      </c>
      <c r="I476">
        <v>32.67</v>
      </c>
    </row>
    <row r="477" spans="1:9" ht="12.75">
      <c r="A477">
        <v>472</v>
      </c>
      <c r="B477" t="s">
        <v>3105</v>
      </c>
      <c r="C477" t="s">
        <v>3123</v>
      </c>
      <c r="D477" t="s">
        <v>2780</v>
      </c>
      <c r="E477" t="s">
        <v>2818</v>
      </c>
      <c r="F477" t="str">
        <f>"62/307"</f>
        <v>62/307</v>
      </c>
      <c r="G477" t="s">
        <v>2889</v>
      </c>
      <c r="H477" t="s">
        <v>388</v>
      </c>
      <c r="I477">
        <v>32.67</v>
      </c>
    </row>
    <row r="478" spans="1:9" ht="12.75">
      <c r="A478">
        <v>473</v>
      </c>
      <c r="B478" t="s">
        <v>3105</v>
      </c>
      <c r="C478" t="s">
        <v>2840</v>
      </c>
      <c r="D478" t="s">
        <v>2780</v>
      </c>
      <c r="E478" t="s">
        <v>2781</v>
      </c>
      <c r="F478" t="str">
        <f>"138/329"</f>
        <v>138/329</v>
      </c>
      <c r="G478" t="s">
        <v>3067</v>
      </c>
      <c r="H478" t="s">
        <v>389</v>
      </c>
      <c r="I478">
        <v>32.65</v>
      </c>
    </row>
    <row r="479" spans="1:9" ht="12.75">
      <c r="A479">
        <v>474</v>
      </c>
      <c r="B479" t="s">
        <v>390</v>
      </c>
      <c r="C479" t="s">
        <v>391</v>
      </c>
      <c r="D479" t="s">
        <v>3031</v>
      </c>
      <c r="E479" t="s">
        <v>3032</v>
      </c>
      <c r="F479" t="str">
        <f>"11/54"</f>
        <v>11/54</v>
      </c>
      <c r="G479" t="s">
        <v>392</v>
      </c>
      <c r="H479" t="s">
        <v>393</v>
      </c>
      <c r="I479">
        <v>32.62</v>
      </c>
    </row>
    <row r="480" spans="1:9" ht="12.75">
      <c r="A480">
        <v>475</v>
      </c>
      <c r="B480" t="s">
        <v>283</v>
      </c>
      <c r="C480" t="s">
        <v>394</v>
      </c>
      <c r="D480" t="s">
        <v>3031</v>
      </c>
      <c r="E480" t="s">
        <v>3032</v>
      </c>
      <c r="F480" t="str">
        <f>"12/54"</f>
        <v>12/54</v>
      </c>
      <c r="G480" t="s">
        <v>2844</v>
      </c>
      <c r="H480" t="s">
        <v>395</v>
      </c>
      <c r="I480">
        <v>32.62</v>
      </c>
    </row>
    <row r="481" spans="1:9" ht="12.75">
      <c r="A481">
        <v>476</v>
      </c>
      <c r="B481" t="s">
        <v>396</v>
      </c>
      <c r="C481" t="s">
        <v>2814</v>
      </c>
      <c r="D481" t="s">
        <v>2780</v>
      </c>
      <c r="E481" t="s">
        <v>2799</v>
      </c>
      <c r="F481" t="str">
        <f>"40/99"</f>
        <v>40/99</v>
      </c>
      <c r="G481" t="s">
        <v>3516</v>
      </c>
      <c r="H481" t="s">
        <v>397</v>
      </c>
      <c r="I481">
        <v>32.61</v>
      </c>
    </row>
    <row r="482" spans="1:9" ht="12.75">
      <c r="A482">
        <v>477</v>
      </c>
      <c r="B482" t="s">
        <v>398</v>
      </c>
      <c r="C482" t="s">
        <v>2895</v>
      </c>
      <c r="D482" t="s">
        <v>2780</v>
      </c>
      <c r="E482" t="s">
        <v>2799</v>
      </c>
      <c r="F482" t="str">
        <f>"41/99"</f>
        <v>41/99</v>
      </c>
      <c r="G482" t="s">
        <v>2844</v>
      </c>
      <c r="H482" t="s">
        <v>399</v>
      </c>
      <c r="I482">
        <v>32.61</v>
      </c>
    </row>
    <row r="483" spans="1:9" ht="12.75">
      <c r="A483">
        <v>478</v>
      </c>
      <c r="B483" t="s">
        <v>400</v>
      </c>
      <c r="C483" t="s">
        <v>401</v>
      </c>
      <c r="D483" t="s">
        <v>2780</v>
      </c>
      <c r="E483" t="s">
        <v>2818</v>
      </c>
      <c r="F483" t="str">
        <f>"63/307"</f>
        <v>63/307</v>
      </c>
      <c r="G483" t="s">
        <v>2974</v>
      </c>
      <c r="H483" t="s">
        <v>402</v>
      </c>
      <c r="I483">
        <v>32.59</v>
      </c>
    </row>
    <row r="484" spans="1:9" ht="12.75">
      <c r="A484">
        <v>479</v>
      </c>
      <c r="B484" t="s">
        <v>403</v>
      </c>
      <c r="C484" t="s">
        <v>2865</v>
      </c>
      <c r="D484" t="s">
        <v>2780</v>
      </c>
      <c r="E484" t="s">
        <v>2818</v>
      </c>
      <c r="F484" t="str">
        <f>"64/307"</f>
        <v>64/307</v>
      </c>
      <c r="G484" t="s">
        <v>404</v>
      </c>
      <c r="H484" t="s">
        <v>405</v>
      </c>
      <c r="I484">
        <v>32.59</v>
      </c>
    </row>
    <row r="485" spans="1:9" ht="12.75">
      <c r="A485">
        <v>480</v>
      </c>
      <c r="B485" t="s">
        <v>194</v>
      </c>
      <c r="C485" t="s">
        <v>3417</v>
      </c>
      <c r="D485" t="s">
        <v>2780</v>
      </c>
      <c r="E485" t="s">
        <v>2781</v>
      </c>
      <c r="F485" t="str">
        <f>"139/329"</f>
        <v>139/329</v>
      </c>
      <c r="G485" t="s">
        <v>2844</v>
      </c>
      <c r="H485" t="s">
        <v>406</v>
      </c>
      <c r="I485">
        <v>32.58</v>
      </c>
    </row>
    <row r="486" spans="1:9" ht="12.75">
      <c r="A486">
        <v>481</v>
      </c>
      <c r="B486" t="s">
        <v>3204</v>
      </c>
      <c r="C486" t="s">
        <v>3387</v>
      </c>
      <c r="D486" t="s">
        <v>2780</v>
      </c>
      <c r="E486" t="s">
        <v>2823</v>
      </c>
      <c r="F486" t="str">
        <f>"158/504"</f>
        <v>158/504</v>
      </c>
      <c r="G486" t="s">
        <v>2844</v>
      </c>
      <c r="H486" t="s">
        <v>407</v>
      </c>
      <c r="I486">
        <v>32.56</v>
      </c>
    </row>
    <row r="487" spans="1:9" ht="12.75">
      <c r="A487">
        <v>482</v>
      </c>
      <c r="B487" t="s">
        <v>408</v>
      </c>
      <c r="C487" t="s">
        <v>2951</v>
      </c>
      <c r="D487" t="s">
        <v>2780</v>
      </c>
      <c r="E487" t="s">
        <v>2786</v>
      </c>
      <c r="F487" t="str">
        <f>"35/58"</f>
        <v>35/58</v>
      </c>
      <c r="G487" t="s">
        <v>3099</v>
      </c>
      <c r="H487" t="s">
        <v>409</v>
      </c>
      <c r="I487">
        <v>32.56</v>
      </c>
    </row>
    <row r="488" spans="1:9" ht="12.75">
      <c r="A488">
        <v>483</v>
      </c>
      <c r="B488" t="s">
        <v>410</v>
      </c>
      <c r="C488" t="s">
        <v>2865</v>
      </c>
      <c r="D488" t="s">
        <v>2780</v>
      </c>
      <c r="E488" t="s">
        <v>2823</v>
      </c>
      <c r="F488" t="str">
        <f>"159/504"</f>
        <v>159/504</v>
      </c>
      <c r="G488" t="s">
        <v>2844</v>
      </c>
      <c r="H488" t="s">
        <v>411</v>
      </c>
      <c r="I488">
        <v>32.54</v>
      </c>
    </row>
    <row r="489" spans="1:9" ht="12.75">
      <c r="A489">
        <v>484</v>
      </c>
      <c r="B489" t="s">
        <v>412</v>
      </c>
      <c r="C489" t="s">
        <v>413</v>
      </c>
      <c r="D489" t="s">
        <v>2780</v>
      </c>
      <c r="E489" t="s">
        <v>2799</v>
      </c>
      <c r="F489" t="str">
        <f>"42/99"</f>
        <v>42/99</v>
      </c>
      <c r="G489" t="s">
        <v>209</v>
      </c>
      <c r="H489" t="s">
        <v>414</v>
      </c>
      <c r="I489">
        <v>32.53</v>
      </c>
    </row>
    <row r="490" spans="1:9" ht="12.75">
      <c r="A490">
        <v>485</v>
      </c>
      <c r="B490" t="s">
        <v>415</v>
      </c>
      <c r="C490" t="s">
        <v>2814</v>
      </c>
      <c r="D490" t="s">
        <v>2780</v>
      </c>
      <c r="E490" t="s">
        <v>2823</v>
      </c>
      <c r="F490" t="str">
        <f>"160/504"</f>
        <v>160/504</v>
      </c>
      <c r="G490" t="s">
        <v>416</v>
      </c>
      <c r="H490" t="s">
        <v>417</v>
      </c>
      <c r="I490">
        <v>32.52</v>
      </c>
    </row>
    <row r="491" spans="1:9" ht="12.75">
      <c r="A491">
        <v>486</v>
      </c>
      <c r="B491" t="s">
        <v>3062</v>
      </c>
      <c r="C491" t="s">
        <v>2836</v>
      </c>
      <c r="D491" t="s">
        <v>2780</v>
      </c>
      <c r="E491" t="s">
        <v>2823</v>
      </c>
      <c r="F491" t="str">
        <f>"161/504"</f>
        <v>161/504</v>
      </c>
      <c r="G491" t="s">
        <v>3315</v>
      </c>
      <c r="H491" t="s">
        <v>418</v>
      </c>
      <c r="I491">
        <v>32.51</v>
      </c>
    </row>
    <row r="492" spans="1:9" ht="12.75">
      <c r="A492">
        <v>487</v>
      </c>
      <c r="B492" t="s">
        <v>419</v>
      </c>
      <c r="C492" t="s">
        <v>2865</v>
      </c>
      <c r="D492" t="s">
        <v>2780</v>
      </c>
      <c r="E492" t="s">
        <v>2818</v>
      </c>
      <c r="F492" t="str">
        <f>"65/307"</f>
        <v>65/307</v>
      </c>
      <c r="G492" t="s">
        <v>420</v>
      </c>
      <c r="H492" t="s">
        <v>421</v>
      </c>
      <c r="I492">
        <v>32.5</v>
      </c>
    </row>
    <row r="493" spans="1:9" ht="12.75">
      <c r="A493">
        <v>488</v>
      </c>
      <c r="B493" t="s">
        <v>422</v>
      </c>
      <c r="C493" t="s">
        <v>2810</v>
      </c>
      <c r="D493" t="s">
        <v>2780</v>
      </c>
      <c r="E493" t="s">
        <v>2781</v>
      </c>
      <c r="F493" t="str">
        <f>"140/329"</f>
        <v>140/329</v>
      </c>
      <c r="G493" t="s">
        <v>3640</v>
      </c>
      <c r="H493" t="s">
        <v>423</v>
      </c>
      <c r="I493">
        <v>32.49</v>
      </c>
    </row>
    <row r="494" spans="1:9" ht="12.75">
      <c r="A494">
        <v>489</v>
      </c>
      <c r="B494" t="s">
        <v>424</v>
      </c>
      <c r="C494" t="s">
        <v>3346</v>
      </c>
      <c r="D494" t="s">
        <v>2780</v>
      </c>
      <c r="E494" t="s">
        <v>2818</v>
      </c>
      <c r="F494" t="str">
        <f>"66/307"</f>
        <v>66/307</v>
      </c>
      <c r="G494" t="s">
        <v>425</v>
      </c>
      <c r="H494" t="s">
        <v>426</v>
      </c>
      <c r="I494">
        <v>32.48</v>
      </c>
    </row>
    <row r="495" spans="1:9" ht="12.75">
      <c r="A495">
        <v>490</v>
      </c>
      <c r="B495" t="s">
        <v>427</v>
      </c>
      <c r="C495" t="s">
        <v>2966</v>
      </c>
      <c r="D495" t="s">
        <v>2780</v>
      </c>
      <c r="E495" t="s">
        <v>2823</v>
      </c>
      <c r="F495" t="str">
        <f>"162/504"</f>
        <v>162/504</v>
      </c>
      <c r="G495" t="s">
        <v>366</v>
      </c>
      <c r="H495" t="s">
        <v>428</v>
      </c>
      <c r="I495">
        <v>32.47</v>
      </c>
    </row>
    <row r="496" spans="1:9" ht="12.75">
      <c r="A496">
        <v>491</v>
      </c>
      <c r="B496" t="s">
        <v>429</v>
      </c>
      <c r="C496" t="s">
        <v>2807</v>
      </c>
      <c r="D496" t="s">
        <v>2780</v>
      </c>
      <c r="E496" t="s">
        <v>2781</v>
      </c>
      <c r="F496" t="str">
        <f>"141/329"</f>
        <v>141/329</v>
      </c>
      <c r="G496" t="s">
        <v>366</v>
      </c>
      <c r="H496" t="s">
        <v>430</v>
      </c>
      <c r="I496">
        <v>32.47</v>
      </c>
    </row>
    <row r="497" spans="1:9" ht="12.75">
      <c r="A497">
        <v>492</v>
      </c>
      <c r="B497" t="s">
        <v>431</v>
      </c>
      <c r="C497" t="s">
        <v>2810</v>
      </c>
      <c r="D497" t="s">
        <v>2780</v>
      </c>
      <c r="E497" t="s">
        <v>2786</v>
      </c>
      <c r="F497" t="str">
        <f>"36/58"</f>
        <v>36/58</v>
      </c>
      <c r="G497" t="s">
        <v>2880</v>
      </c>
      <c r="H497" t="s">
        <v>432</v>
      </c>
      <c r="I497">
        <v>32.47</v>
      </c>
    </row>
    <row r="498" spans="1:9" ht="12.75">
      <c r="A498">
        <v>493</v>
      </c>
      <c r="B498" t="s">
        <v>433</v>
      </c>
      <c r="C498" t="s">
        <v>3192</v>
      </c>
      <c r="D498" t="s">
        <v>2780</v>
      </c>
      <c r="E498" t="s">
        <v>2781</v>
      </c>
      <c r="F498" t="str">
        <f>"142/329"</f>
        <v>142/329</v>
      </c>
      <c r="G498" t="s">
        <v>434</v>
      </c>
      <c r="H498" t="s">
        <v>435</v>
      </c>
      <c r="I498">
        <v>32.47</v>
      </c>
    </row>
    <row r="499" spans="1:9" ht="12.75">
      <c r="A499">
        <v>494</v>
      </c>
      <c r="B499" t="s">
        <v>436</v>
      </c>
      <c r="C499" t="s">
        <v>3346</v>
      </c>
      <c r="D499" t="s">
        <v>2780</v>
      </c>
      <c r="E499" t="s">
        <v>2781</v>
      </c>
      <c r="F499" t="str">
        <f>"143/329"</f>
        <v>143/329</v>
      </c>
      <c r="G499" t="s">
        <v>437</v>
      </c>
      <c r="H499" t="s">
        <v>438</v>
      </c>
      <c r="I499">
        <v>32.47</v>
      </c>
    </row>
    <row r="500" spans="1:9" ht="12.75">
      <c r="A500">
        <v>495</v>
      </c>
      <c r="B500" t="s">
        <v>439</v>
      </c>
      <c r="C500" t="s">
        <v>2951</v>
      </c>
      <c r="D500" t="s">
        <v>2780</v>
      </c>
      <c r="E500" t="s">
        <v>2818</v>
      </c>
      <c r="F500" t="str">
        <f>"67/307"</f>
        <v>67/307</v>
      </c>
      <c r="G500" t="s">
        <v>420</v>
      </c>
      <c r="H500" t="s">
        <v>440</v>
      </c>
      <c r="I500">
        <v>32.47</v>
      </c>
    </row>
    <row r="501" spans="1:9" ht="12.75">
      <c r="A501">
        <v>496</v>
      </c>
      <c r="B501" t="s">
        <v>441</v>
      </c>
      <c r="C501" t="s">
        <v>2865</v>
      </c>
      <c r="D501" t="s">
        <v>2780</v>
      </c>
      <c r="E501" t="s">
        <v>2823</v>
      </c>
      <c r="F501" t="str">
        <f>"163/504"</f>
        <v>163/504</v>
      </c>
      <c r="G501" t="s">
        <v>420</v>
      </c>
      <c r="H501" t="s">
        <v>442</v>
      </c>
      <c r="I501">
        <v>32.46</v>
      </c>
    </row>
    <row r="502" spans="1:9" ht="12.75">
      <c r="A502">
        <v>497</v>
      </c>
      <c r="B502" t="s">
        <v>443</v>
      </c>
      <c r="C502" t="s">
        <v>2895</v>
      </c>
      <c r="D502" t="s">
        <v>2780</v>
      </c>
      <c r="E502" t="s">
        <v>3209</v>
      </c>
      <c r="F502" t="str">
        <f>"2/62"</f>
        <v>2/62</v>
      </c>
      <c r="G502" t="s">
        <v>3088</v>
      </c>
      <c r="H502" t="s">
        <v>444</v>
      </c>
      <c r="I502">
        <v>32.45</v>
      </c>
    </row>
    <row r="503" spans="1:9" ht="12.75">
      <c r="A503">
        <v>498</v>
      </c>
      <c r="B503" t="s">
        <v>445</v>
      </c>
      <c r="C503" t="s">
        <v>84</v>
      </c>
      <c r="D503" t="s">
        <v>2780</v>
      </c>
      <c r="E503" t="s">
        <v>2823</v>
      </c>
      <c r="F503" t="str">
        <f>"164/504"</f>
        <v>164/504</v>
      </c>
      <c r="G503" t="s">
        <v>446</v>
      </c>
      <c r="H503" t="s">
        <v>447</v>
      </c>
      <c r="I503">
        <v>32.45</v>
      </c>
    </row>
    <row r="504" spans="1:9" ht="12.75">
      <c r="A504">
        <v>499</v>
      </c>
      <c r="B504" t="s">
        <v>448</v>
      </c>
      <c r="C504" t="s">
        <v>2840</v>
      </c>
      <c r="D504" t="s">
        <v>2780</v>
      </c>
      <c r="E504" t="s">
        <v>2818</v>
      </c>
      <c r="F504" t="str">
        <f>"68/307"</f>
        <v>68/307</v>
      </c>
      <c r="G504" t="s">
        <v>3315</v>
      </c>
      <c r="H504" t="s">
        <v>449</v>
      </c>
      <c r="I504">
        <v>32.44</v>
      </c>
    </row>
    <row r="505" spans="1:9" ht="12.75">
      <c r="A505">
        <v>500</v>
      </c>
      <c r="B505" t="s">
        <v>450</v>
      </c>
      <c r="C505" t="s">
        <v>2895</v>
      </c>
      <c r="D505" t="s">
        <v>2780</v>
      </c>
      <c r="E505" t="s">
        <v>2823</v>
      </c>
      <c r="F505" t="str">
        <f>"165/504"</f>
        <v>165/504</v>
      </c>
      <c r="G505" t="s">
        <v>451</v>
      </c>
      <c r="H505" t="s">
        <v>452</v>
      </c>
      <c r="I505">
        <v>32.43</v>
      </c>
    </row>
    <row r="506" spans="1:9" ht="12.75">
      <c r="A506">
        <v>501</v>
      </c>
      <c r="B506" t="s">
        <v>453</v>
      </c>
      <c r="C506" t="s">
        <v>2868</v>
      </c>
      <c r="D506" t="s">
        <v>2780</v>
      </c>
      <c r="E506" t="s">
        <v>2818</v>
      </c>
      <c r="F506" t="str">
        <f>"69/307"</f>
        <v>69/307</v>
      </c>
      <c r="G506" t="s">
        <v>454</v>
      </c>
      <c r="H506" t="s">
        <v>455</v>
      </c>
      <c r="I506">
        <v>32.43</v>
      </c>
    </row>
    <row r="507" spans="1:9" ht="12.75">
      <c r="A507">
        <v>502</v>
      </c>
      <c r="B507" t="s">
        <v>456</v>
      </c>
      <c r="C507" t="s">
        <v>2836</v>
      </c>
      <c r="D507" t="s">
        <v>2780</v>
      </c>
      <c r="E507" t="s">
        <v>2818</v>
      </c>
      <c r="F507" t="str">
        <f>"70/307"</f>
        <v>70/307</v>
      </c>
      <c r="G507" t="s">
        <v>457</v>
      </c>
      <c r="H507" t="s">
        <v>458</v>
      </c>
      <c r="I507">
        <v>32.38</v>
      </c>
    </row>
    <row r="508" spans="1:9" ht="12.75">
      <c r="A508">
        <v>503</v>
      </c>
      <c r="B508" t="s">
        <v>398</v>
      </c>
      <c r="C508" t="s">
        <v>2814</v>
      </c>
      <c r="D508" t="s">
        <v>2780</v>
      </c>
      <c r="E508" t="s">
        <v>2823</v>
      </c>
      <c r="F508" t="str">
        <f>"166/504"</f>
        <v>166/504</v>
      </c>
      <c r="G508" t="s">
        <v>459</v>
      </c>
      <c r="H508" t="s">
        <v>460</v>
      </c>
      <c r="I508">
        <v>32.38</v>
      </c>
    </row>
    <row r="509" spans="1:9" ht="12.75">
      <c r="A509">
        <v>504</v>
      </c>
      <c r="B509" t="s">
        <v>461</v>
      </c>
      <c r="C509" t="s">
        <v>3346</v>
      </c>
      <c r="D509" t="s">
        <v>2780</v>
      </c>
      <c r="E509" t="s">
        <v>2818</v>
      </c>
      <c r="F509" t="str">
        <f>"71/307"</f>
        <v>71/307</v>
      </c>
      <c r="G509" t="s">
        <v>3134</v>
      </c>
      <c r="H509" t="s">
        <v>462</v>
      </c>
      <c r="I509">
        <v>32.38</v>
      </c>
    </row>
    <row r="510" spans="1:9" ht="12.75">
      <c r="A510">
        <v>505</v>
      </c>
      <c r="B510" t="s">
        <v>463</v>
      </c>
      <c r="C510" t="s">
        <v>2895</v>
      </c>
      <c r="D510" t="s">
        <v>2780</v>
      </c>
      <c r="E510" t="s">
        <v>2823</v>
      </c>
      <c r="F510" t="str">
        <f>"167/504"</f>
        <v>167/504</v>
      </c>
      <c r="G510" t="s">
        <v>3217</v>
      </c>
      <c r="H510" t="s">
        <v>464</v>
      </c>
      <c r="I510">
        <v>32.37</v>
      </c>
    </row>
    <row r="511" spans="1:9" ht="12.75">
      <c r="A511">
        <v>506</v>
      </c>
      <c r="B511" t="s">
        <v>3065</v>
      </c>
      <c r="C511" t="s">
        <v>465</v>
      </c>
      <c r="D511" t="s">
        <v>3031</v>
      </c>
      <c r="E511" t="s">
        <v>3032</v>
      </c>
      <c r="F511" t="str">
        <f>"13/54"</f>
        <v>13/54</v>
      </c>
      <c r="G511" t="s">
        <v>3067</v>
      </c>
      <c r="H511" t="s">
        <v>466</v>
      </c>
      <c r="I511">
        <v>32.35</v>
      </c>
    </row>
    <row r="512" spans="1:9" ht="12.75">
      <c r="A512">
        <v>507</v>
      </c>
      <c r="B512" t="s">
        <v>467</v>
      </c>
      <c r="C512" t="s">
        <v>2817</v>
      </c>
      <c r="D512" t="s">
        <v>2780</v>
      </c>
      <c r="E512" t="s">
        <v>2973</v>
      </c>
      <c r="F512" t="str">
        <f>"22/167"</f>
        <v>22/167</v>
      </c>
      <c r="G512" t="s">
        <v>3148</v>
      </c>
      <c r="H512" t="s">
        <v>468</v>
      </c>
      <c r="I512">
        <v>32.35</v>
      </c>
    </row>
    <row r="513" spans="1:9" ht="12.75">
      <c r="A513">
        <v>508</v>
      </c>
      <c r="B513" t="s">
        <v>469</v>
      </c>
      <c r="C513" t="s">
        <v>470</v>
      </c>
      <c r="D513" t="s">
        <v>2780</v>
      </c>
      <c r="E513" t="s">
        <v>2818</v>
      </c>
      <c r="F513" t="str">
        <f>"72/307"</f>
        <v>72/307</v>
      </c>
      <c r="G513" t="s">
        <v>3148</v>
      </c>
      <c r="H513" t="s">
        <v>471</v>
      </c>
      <c r="I513">
        <v>32.35</v>
      </c>
    </row>
    <row r="514" spans="1:9" ht="12.75">
      <c r="A514">
        <v>509</v>
      </c>
      <c r="B514" t="s">
        <v>472</v>
      </c>
      <c r="C514" t="s">
        <v>2963</v>
      </c>
      <c r="D514" t="s">
        <v>2780</v>
      </c>
      <c r="E514" t="s">
        <v>2823</v>
      </c>
      <c r="F514" t="str">
        <f>"168/504"</f>
        <v>168/504</v>
      </c>
      <c r="G514" t="s">
        <v>59</v>
      </c>
      <c r="H514" t="s">
        <v>473</v>
      </c>
      <c r="I514">
        <v>32.34</v>
      </c>
    </row>
    <row r="515" spans="1:9" ht="12.75">
      <c r="A515">
        <v>510</v>
      </c>
      <c r="B515" t="s">
        <v>474</v>
      </c>
      <c r="C515" t="s">
        <v>2895</v>
      </c>
      <c r="D515" t="s">
        <v>2780</v>
      </c>
      <c r="E515" t="s">
        <v>2786</v>
      </c>
      <c r="F515" t="str">
        <f>"37/58"</f>
        <v>37/58</v>
      </c>
      <c r="G515" t="s">
        <v>475</v>
      </c>
      <c r="H515" t="s">
        <v>476</v>
      </c>
      <c r="I515">
        <v>32.33</v>
      </c>
    </row>
    <row r="516" spans="1:9" ht="12.75">
      <c r="A516">
        <v>511</v>
      </c>
      <c r="B516" t="s">
        <v>477</v>
      </c>
      <c r="C516" t="s">
        <v>2865</v>
      </c>
      <c r="D516" t="s">
        <v>2780</v>
      </c>
      <c r="E516" t="s">
        <v>2823</v>
      </c>
      <c r="F516" t="str">
        <f>"169/504"</f>
        <v>169/504</v>
      </c>
      <c r="G516" t="s">
        <v>215</v>
      </c>
      <c r="H516" t="s">
        <v>478</v>
      </c>
      <c r="I516">
        <v>32.33</v>
      </c>
    </row>
    <row r="517" spans="1:9" ht="12.75">
      <c r="A517">
        <v>512</v>
      </c>
      <c r="B517" t="s">
        <v>479</v>
      </c>
      <c r="C517" t="s">
        <v>2779</v>
      </c>
      <c r="D517" t="s">
        <v>2780</v>
      </c>
      <c r="E517" t="s">
        <v>2781</v>
      </c>
      <c r="F517" t="str">
        <f>"144/329"</f>
        <v>144/329</v>
      </c>
      <c r="G517" t="s">
        <v>480</v>
      </c>
      <c r="H517" t="s">
        <v>481</v>
      </c>
      <c r="I517">
        <v>32.32</v>
      </c>
    </row>
    <row r="518" spans="1:9" ht="12.75">
      <c r="A518">
        <v>513</v>
      </c>
      <c r="B518" t="s">
        <v>482</v>
      </c>
      <c r="C518" t="s">
        <v>2942</v>
      </c>
      <c r="D518" t="s">
        <v>2780</v>
      </c>
      <c r="E518" t="s">
        <v>2973</v>
      </c>
      <c r="F518" t="str">
        <f>"23/167"</f>
        <v>23/167</v>
      </c>
      <c r="G518" t="s">
        <v>2889</v>
      </c>
      <c r="H518" t="s">
        <v>483</v>
      </c>
      <c r="I518">
        <v>32.32</v>
      </c>
    </row>
    <row r="519" spans="1:9" ht="12.75">
      <c r="A519">
        <v>514</v>
      </c>
      <c r="B519" t="s">
        <v>484</v>
      </c>
      <c r="C519" t="s">
        <v>2814</v>
      </c>
      <c r="D519" t="s">
        <v>2780</v>
      </c>
      <c r="E519" t="s">
        <v>2823</v>
      </c>
      <c r="F519" t="str">
        <f>"170/504"</f>
        <v>170/504</v>
      </c>
      <c r="G519" t="s">
        <v>485</v>
      </c>
      <c r="H519" t="s">
        <v>486</v>
      </c>
      <c r="I519">
        <v>32.32</v>
      </c>
    </row>
    <row r="520" spans="1:9" ht="12.75">
      <c r="A520">
        <v>515</v>
      </c>
      <c r="B520" t="s">
        <v>487</v>
      </c>
      <c r="C520" t="s">
        <v>488</v>
      </c>
      <c r="D520" t="s">
        <v>3031</v>
      </c>
      <c r="E520" t="s">
        <v>3244</v>
      </c>
      <c r="F520" t="str">
        <f>"7/63"</f>
        <v>7/63</v>
      </c>
      <c r="G520" t="s">
        <v>2892</v>
      </c>
      <c r="H520" t="s">
        <v>489</v>
      </c>
      <c r="I520">
        <v>32.31</v>
      </c>
    </row>
    <row r="521" spans="1:9" ht="12.75">
      <c r="A521">
        <v>516</v>
      </c>
      <c r="B521" t="s">
        <v>490</v>
      </c>
      <c r="C521" t="s">
        <v>2836</v>
      </c>
      <c r="D521" t="s">
        <v>2780</v>
      </c>
      <c r="E521" t="s">
        <v>2799</v>
      </c>
      <c r="F521" t="str">
        <f>"43/99"</f>
        <v>43/99</v>
      </c>
      <c r="G521" t="s">
        <v>491</v>
      </c>
      <c r="H521" t="s">
        <v>492</v>
      </c>
      <c r="I521">
        <v>32.3</v>
      </c>
    </row>
    <row r="522" spans="1:9" ht="12.75">
      <c r="A522">
        <v>517</v>
      </c>
      <c r="B522" t="s">
        <v>493</v>
      </c>
      <c r="C522" t="s">
        <v>2830</v>
      </c>
      <c r="D522" t="s">
        <v>2780</v>
      </c>
      <c r="E522" t="s">
        <v>2823</v>
      </c>
      <c r="F522" t="str">
        <f>"171/504"</f>
        <v>171/504</v>
      </c>
      <c r="G522" t="s">
        <v>215</v>
      </c>
      <c r="H522" t="s">
        <v>494</v>
      </c>
      <c r="I522">
        <v>32.3</v>
      </c>
    </row>
    <row r="523" spans="1:9" ht="12.75">
      <c r="A523">
        <v>518</v>
      </c>
      <c r="B523" t="s">
        <v>495</v>
      </c>
      <c r="C523" t="s">
        <v>2861</v>
      </c>
      <c r="D523" t="s">
        <v>2780</v>
      </c>
      <c r="E523" t="s">
        <v>2823</v>
      </c>
      <c r="F523" t="str">
        <f>"172/504"</f>
        <v>172/504</v>
      </c>
      <c r="G523" t="s">
        <v>496</v>
      </c>
      <c r="H523" t="s">
        <v>497</v>
      </c>
      <c r="I523">
        <v>32.3</v>
      </c>
    </row>
    <row r="524" spans="1:9" ht="12.75">
      <c r="A524">
        <v>519</v>
      </c>
      <c r="B524" t="s">
        <v>498</v>
      </c>
      <c r="C524" t="s">
        <v>2836</v>
      </c>
      <c r="D524" t="s">
        <v>2780</v>
      </c>
      <c r="E524" t="s">
        <v>2823</v>
      </c>
      <c r="F524" t="str">
        <f>"173/504"</f>
        <v>173/504</v>
      </c>
      <c r="G524" t="s">
        <v>499</v>
      </c>
      <c r="H524" t="s">
        <v>500</v>
      </c>
      <c r="I524">
        <v>32.29</v>
      </c>
    </row>
    <row r="525" spans="1:9" ht="12.75">
      <c r="A525">
        <v>520</v>
      </c>
      <c r="B525" t="s">
        <v>501</v>
      </c>
      <c r="C525" t="s">
        <v>3114</v>
      </c>
      <c r="D525" t="s">
        <v>2780</v>
      </c>
      <c r="E525" t="s">
        <v>2823</v>
      </c>
      <c r="F525" t="str">
        <f>"174/504"</f>
        <v>174/504</v>
      </c>
      <c r="G525" t="s">
        <v>3046</v>
      </c>
      <c r="H525" t="s">
        <v>502</v>
      </c>
      <c r="I525">
        <v>32.27</v>
      </c>
    </row>
    <row r="526" spans="1:9" ht="12.75">
      <c r="A526">
        <v>521</v>
      </c>
      <c r="B526" t="s">
        <v>503</v>
      </c>
      <c r="C526" t="s">
        <v>504</v>
      </c>
      <c r="D526" t="s">
        <v>2780</v>
      </c>
      <c r="E526" t="s">
        <v>2823</v>
      </c>
      <c r="F526" t="str">
        <f>"175/504"</f>
        <v>175/504</v>
      </c>
      <c r="G526" t="s">
        <v>505</v>
      </c>
      <c r="H526" t="s">
        <v>506</v>
      </c>
      <c r="I526">
        <v>32.26</v>
      </c>
    </row>
    <row r="527" spans="1:9" ht="12.75">
      <c r="A527">
        <v>522</v>
      </c>
      <c r="B527" t="s">
        <v>507</v>
      </c>
      <c r="C527" t="s">
        <v>3098</v>
      </c>
      <c r="D527" t="s">
        <v>2780</v>
      </c>
      <c r="E527" t="s">
        <v>2781</v>
      </c>
      <c r="F527" t="str">
        <f>"145/329"</f>
        <v>145/329</v>
      </c>
      <c r="G527" t="s">
        <v>3587</v>
      </c>
      <c r="H527" t="s">
        <v>508</v>
      </c>
      <c r="I527">
        <v>32.25</v>
      </c>
    </row>
    <row r="528" spans="1:9" ht="12.75">
      <c r="A528">
        <v>523</v>
      </c>
      <c r="B528" t="s">
        <v>2860</v>
      </c>
      <c r="C528" t="s">
        <v>2857</v>
      </c>
      <c r="D528" t="s">
        <v>2780</v>
      </c>
      <c r="E528" t="s">
        <v>2781</v>
      </c>
      <c r="F528" t="str">
        <f>"146/329"</f>
        <v>146/329</v>
      </c>
      <c r="G528" t="s">
        <v>3252</v>
      </c>
      <c r="H528" t="s">
        <v>509</v>
      </c>
      <c r="I528">
        <v>32.25</v>
      </c>
    </row>
    <row r="529" spans="1:9" ht="12.75">
      <c r="A529">
        <v>524</v>
      </c>
      <c r="B529" t="s">
        <v>510</v>
      </c>
      <c r="C529" t="s">
        <v>2826</v>
      </c>
      <c r="D529" t="s">
        <v>2780</v>
      </c>
      <c r="E529" t="s">
        <v>2823</v>
      </c>
      <c r="F529" t="str">
        <f>"176/504"</f>
        <v>176/504</v>
      </c>
      <c r="G529" t="s">
        <v>3011</v>
      </c>
      <c r="H529" t="s">
        <v>511</v>
      </c>
      <c r="I529">
        <v>32.25</v>
      </c>
    </row>
    <row r="530" spans="1:9" ht="12.75">
      <c r="A530">
        <v>525</v>
      </c>
      <c r="B530" t="s">
        <v>512</v>
      </c>
      <c r="C530" t="s">
        <v>2814</v>
      </c>
      <c r="D530" t="s">
        <v>2780</v>
      </c>
      <c r="E530" t="s">
        <v>2799</v>
      </c>
      <c r="F530" t="str">
        <f>"44/99"</f>
        <v>44/99</v>
      </c>
      <c r="G530" t="s">
        <v>513</v>
      </c>
      <c r="H530" t="s">
        <v>514</v>
      </c>
      <c r="I530">
        <v>32.25</v>
      </c>
    </row>
    <row r="531" spans="1:9" ht="12.75">
      <c r="A531">
        <v>526</v>
      </c>
      <c r="B531" t="s">
        <v>515</v>
      </c>
      <c r="C531" t="s">
        <v>2861</v>
      </c>
      <c r="D531" t="s">
        <v>2780</v>
      </c>
      <c r="E531" t="s">
        <v>2823</v>
      </c>
      <c r="F531" t="str">
        <f>"177/504"</f>
        <v>177/504</v>
      </c>
      <c r="G531" t="s">
        <v>3465</v>
      </c>
      <c r="H531" t="s">
        <v>516</v>
      </c>
      <c r="I531">
        <v>32.25</v>
      </c>
    </row>
    <row r="532" spans="1:9" ht="12.75">
      <c r="A532">
        <v>527</v>
      </c>
      <c r="B532" t="s">
        <v>517</v>
      </c>
      <c r="C532" t="s">
        <v>3633</v>
      </c>
      <c r="D532" t="s">
        <v>2780</v>
      </c>
      <c r="E532" t="s">
        <v>2818</v>
      </c>
      <c r="F532" t="str">
        <f>"73/307"</f>
        <v>73/307</v>
      </c>
      <c r="G532" t="s">
        <v>518</v>
      </c>
      <c r="H532" t="s">
        <v>519</v>
      </c>
      <c r="I532">
        <v>32.24</v>
      </c>
    </row>
    <row r="533" spans="1:9" ht="12.75">
      <c r="A533">
        <v>528</v>
      </c>
      <c r="B533" t="s">
        <v>520</v>
      </c>
      <c r="C533" t="s">
        <v>2966</v>
      </c>
      <c r="D533" t="s">
        <v>2780</v>
      </c>
      <c r="E533" t="s">
        <v>2823</v>
      </c>
      <c r="F533" t="str">
        <f>"178/504"</f>
        <v>178/504</v>
      </c>
      <c r="G533" t="s">
        <v>3492</v>
      </c>
      <c r="H533" t="s">
        <v>521</v>
      </c>
      <c r="I533">
        <v>32.24</v>
      </c>
    </row>
    <row r="534" spans="1:9" ht="12.75">
      <c r="A534">
        <v>529</v>
      </c>
      <c r="B534" t="s">
        <v>522</v>
      </c>
      <c r="C534" t="s">
        <v>2836</v>
      </c>
      <c r="D534" t="s">
        <v>2780</v>
      </c>
      <c r="E534" t="s">
        <v>2818</v>
      </c>
      <c r="F534" t="str">
        <f>"74/307"</f>
        <v>74/307</v>
      </c>
      <c r="G534" t="s">
        <v>3516</v>
      </c>
      <c r="H534" t="s">
        <v>521</v>
      </c>
      <c r="I534">
        <v>32.24</v>
      </c>
    </row>
    <row r="535" spans="1:9" ht="12.75">
      <c r="A535">
        <v>530</v>
      </c>
      <c r="B535" t="s">
        <v>523</v>
      </c>
      <c r="C535" t="s">
        <v>3008</v>
      </c>
      <c r="D535" t="s">
        <v>2780</v>
      </c>
      <c r="E535" t="s">
        <v>2781</v>
      </c>
      <c r="F535" t="str">
        <f>"147/329"</f>
        <v>147/329</v>
      </c>
      <c r="G535" t="s">
        <v>3060</v>
      </c>
      <c r="H535" t="s">
        <v>524</v>
      </c>
      <c r="I535">
        <v>32.22</v>
      </c>
    </row>
    <row r="536" spans="1:9" ht="12.75">
      <c r="A536">
        <v>531</v>
      </c>
      <c r="B536" t="s">
        <v>525</v>
      </c>
      <c r="C536" t="s">
        <v>256</v>
      </c>
      <c r="D536" t="s">
        <v>2780</v>
      </c>
      <c r="E536" t="s">
        <v>2823</v>
      </c>
      <c r="F536" t="str">
        <f>"179/504"</f>
        <v>179/504</v>
      </c>
      <c r="G536" t="s">
        <v>526</v>
      </c>
      <c r="H536" t="s">
        <v>527</v>
      </c>
      <c r="I536">
        <v>32.19</v>
      </c>
    </row>
    <row r="537" spans="1:9" ht="12.75">
      <c r="A537">
        <v>532</v>
      </c>
      <c r="B537" t="s">
        <v>528</v>
      </c>
      <c r="C537" t="s">
        <v>3286</v>
      </c>
      <c r="D537" t="s">
        <v>2780</v>
      </c>
      <c r="E537" t="s">
        <v>2973</v>
      </c>
      <c r="F537" t="str">
        <f>"24/167"</f>
        <v>24/167</v>
      </c>
      <c r="G537" t="s">
        <v>110</v>
      </c>
      <c r="H537" t="s">
        <v>529</v>
      </c>
      <c r="I537">
        <v>32.18</v>
      </c>
    </row>
    <row r="538" spans="1:9" ht="12.75">
      <c r="A538">
        <v>533</v>
      </c>
      <c r="B538" t="s">
        <v>530</v>
      </c>
      <c r="C538" t="s">
        <v>2865</v>
      </c>
      <c r="D538" t="s">
        <v>2780</v>
      </c>
      <c r="E538" t="s">
        <v>2818</v>
      </c>
      <c r="F538" t="str">
        <f>"75/307"</f>
        <v>75/307</v>
      </c>
      <c r="G538" t="s">
        <v>3394</v>
      </c>
      <c r="H538" t="s">
        <v>531</v>
      </c>
      <c r="I538">
        <v>32.18</v>
      </c>
    </row>
    <row r="539" spans="1:9" ht="12.75">
      <c r="A539">
        <v>534</v>
      </c>
      <c r="B539" t="s">
        <v>532</v>
      </c>
      <c r="C539" t="s">
        <v>2861</v>
      </c>
      <c r="D539" t="s">
        <v>2780</v>
      </c>
      <c r="E539" t="s">
        <v>2799</v>
      </c>
      <c r="F539" t="str">
        <f>"45/99"</f>
        <v>45/99</v>
      </c>
      <c r="G539" t="s">
        <v>533</v>
      </c>
      <c r="H539" t="s">
        <v>534</v>
      </c>
      <c r="I539">
        <v>32.15</v>
      </c>
    </row>
    <row r="540" spans="1:9" ht="12.75">
      <c r="A540">
        <v>535</v>
      </c>
      <c r="B540" t="s">
        <v>535</v>
      </c>
      <c r="C540" t="s">
        <v>536</v>
      </c>
      <c r="D540" t="s">
        <v>2780</v>
      </c>
      <c r="E540" t="s">
        <v>2799</v>
      </c>
      <c r="F540" t="str">
        <f>"46/99"</f>
        <v>46/99</v>
      </c>
      <c r="G540" t="s">
        <v>2974</v>
      </c>
      <c r="H540" t="s">
        <v>537</v>
      </c>
      <c r="I540">
        <v>32.14</v>
      </c>
    </row>
    <row r="541" spans="1:9" ht="12.75">
      <c r="A541">
        <v>536</v>
      </c>
      <c r="B541" t="s">
        <v>538</v>
      </c>
      <c r="C541" t="s">
        <v>539</v>
      </c>
      <c r="D541" t="s">
        <v>2780</v>
      </c>
      <c r="E541" t="s">
        <v>2781</v>
      </c>
      <c r="F541" t="str">
        <f>"148/329"</f>
        <v>148/329</v>
      </c>
      <c r="G541" t="s">
        <v>369</v>
      </c>
      <c r="H541" t="s">
        <v>540</v>
      </c>
      <c r="I541">
        <v>32.12</v>
      </c>
    </row>
    <row r="542" spans="1:9" ht="12.75">
      <c r="A542">
        <v>537</v>
      </c>
      <c r="B542" t="s">
        <v>541</v>
      </c>
      <c r="C542" t="s">
        <v>2865</v>
      </c>
      <c r="D542" t="s">
        <v>2780</v>
      </c>
      <c r="E542" t="s">
        <v>2818</v>
      </c>
      <c r="F542" t="str">
        <f>"76/307"</f>
        <v>76/307</v>
      </c>
      <c r="G542" t="s">
        <v>542</v>
      </c>
      <c r="H542" t="s">
        <v>543</v>
      </c>
      <c r="I542">
        <v>32.12</v>
      </c>
    </row>
    <row r="543" spans="1:9" ht="12.75">
      <c r="A543">
        <v>538</v>
      </c>
      <c r="B543" t="s">
        <v>544</v>
      </c>
      <c r="C543" t="s">
        <v>3438</v>
      </c>
      <c r="D543" t="s">
        <v>2780</v>
      </c>
      <c r="E543" t="s">
        <v>2781</v>
      </c>
      <c r="F543" t="str">
        <f>"149/329"</f>
        <v>149/329</v>
      </c>
      <c r="G543" t="s">
        <v>545</v>
      </c>
      <c r="H543" t="s">
        <v>546</v>
      </c>
      <c r="I543">
        <v>32.12</v>
      </c>
    </row>
    <row r="544" spans="1:9" ht="12.75">
      <c r="A544">
        <v>539</v>
      </c>
      <c r="B544" t="s">
        <v>547</v>
      </c>
      <c r="C544" t="s">
        <v>2810</v>
      </c>
      <c r="D544" t="s">
        <v>2780</v>
      </c>
      <c r="E544" t="s">
        <v>2823</v>
      </c>
      <c r="F544" t="str">
        <f>"180/504"</f>
        <v>180/504</v>
      </c>
      <c r="G544" t="s">
        <v>59</v>
      </c>
      <c r="H544" t="s">
        <v>548</v>
      </c>
      <c r="I544">
        <v>32.11</v>
      </c>
    </row>
    <row r="545" spans="1:9" ht="12.75">
      <c r="A545">
        <v>540</v>
      </c>
      <c r="B545" t="s">
        <v>549</v>
      </c>
      <c r="C545" t="s">
        <v>3164</v>
      </c>
      <c r="D545" t="s">
        <v>2780</v>
      </c>
      <c r="E545" t="s">
        <v>2823</v>
      </c>
      <c r="F545" t="str">
        <f>"181/504"</f>
        <v>181/504</v>
      </c>
      <c r="G545" t="s">
        <v>446</v>
      </c>
      <c r="H545" t="s">
        <v>550</v>
      </c>
      <c r="I545">
        <v>32.11</v>
      </c>
    </row>
    <row r="546" spans="1:9" ht="12.75">
      <c r="A546">
        <v>541</v>
      </c>
      <c r="B546" t="s">
        <v>551</v>
      </c>
      <c r="C546" t="s">
        <v>552</v>
      </c>
      <c r="D546" t="s">
        <v>2780</v>
      </c>
      <c r="E546" t="s">
        <v>2823</v>
      </c>
      <c r="F546" t="str">
        <f>"182/504"</f>
        <v>182/504</v>
      </c>
      <c r="G546" t="s">
        <v>553</v>
      </c>
      <c r="H546" t="s">
        <v>554</v>
      </c>
      <c r="I546">
        <v>32.11</v>
      </c>
    </row>
    <row r="547" spans="1:9" ht="12.75">
      <c r="A547">
        <v>542</v>
      </c>
      <c r="B547" t="s">
        <v>555</v>
      </c>
      <c r="C547" t="s">
        <v>2931</v>
      </c>
      <c r="D547" t="s">
        <v>2780</v>
      </c>
      <c r="E547" t="s">
        <v>2781</v>
      </c>
      <c r="F547" t="str">
        <f>"150/329"</f>
        <v>150/329</v>
      </c>
      <c r="G547" t="s">
        <v>556</v>
      </c>
      <c r="H547" t="s">
        <v>557</v>
      </c>
      <c r="I547">
        <v>32.09</v>
      </c>
    </row>
    <row r="548" spans="1:9" ht="12.75">
      <c r="A548">
        <v>543</v>
      </c>
      <c r="B548" t="s">
        <v>558</v>
      </c>
      <c r="C548" t="s">
        <v>2886</v>
      </c>
      <c r="D548" t="s">
        <v>2780</v>
      </c>
      <c r="E548" t="s">
        <v>2823</v>
      </c>
      <c r="F548" t="str">
        <f>"183/504"</f>
        <v>183/504</v>
      </c>
      <c r="G548" t="s">
        <v>2974</v>
      </c>
      <c r="H548" t="s">
        <v>559</v>
      </c>
      <c r="I548">
        <v>32.07</v>
      </c>
    </row>
    <row r="549" spans="1:9" ht="12.75">
      <c r="A549">
        <v>544</v>
      </c>
      <c r="B549" t="s">
        <v>3251</v>
      </c>
      <c r="C549" t="s">
        <v>2895</v>
      </c>
      <c r="D549" t="s">
        <v>2780</v>
      </c>
      <c r="E549" t="s">
        <v>2799</v>
      </c>
      <c r="F549" t="str">
        <f>"47/99"</f>
        <v>47/99</v>
      </c>
      <c r="G549" t="s">
        <v>3252</v>
      </c>
      <c r="H549" t="s">
        <v>560</v>
      </c>
      <c r="I549">
        <v>32.03</v>
      </c>
    </row>
    <row r="550" spans="1:9" ht="12.75">
      <c r="A550">
        <v>545</v>
      </c>
      <c r="B550" t="s">
        <v>535</v>
      </c>
      <c r="C550" t="s">
        <v>3057</v>
      </c>
      <c r="D550" t="s">
        <v>2780</v>
      </c>
      <c r="E550" t="s">
        <v>2823</v>
      </c>
      <c r="F550" t="str">
        <f>"184/504"</f>
        <v>184/504</v>
      </c>
      <c r="G550" t="s">
        <v>3327</v>
      </c>
      <c r="H550" t="s">
        <v>561</v>
      </c>
      <c r="I550">
        <v>32.03</v>
      </c>
    </row>
    <row r="551" spans="1:9" ht="12.75">
      <c r="A551">
        <v>546</v>
      </c>
      <c r="B551" t="s">
        <v>562</v>
      </c>
      <c r="C551" t="s">
        <v>2865</v>
      </c>
      <c r="D551" t="s">
        <v>2780</v>
      </c>
      <c r="E551" t="s">
        <v>2823</v>
      </c>
      <c r="F551" t="str">
        <f>"185/504"</f>
        <v>185/504</v>
      </c>
      <c r="G551" t="s">
        <v>563</v>
      </c>
      <c r="H551" t="s">
        <v>564</v>
      </c>
      <c r="I551">
        <v>32.03</v>
      </c>
    </row>
    <row r="552" spans="1:9" ht="12.75">
      <c r="A552">
        <v>547</v>
      </c>
      <c r="B552" t="s">
        <v>565</v>
      </c>
      <c r="C552" t="s">
        <v>2868</v>
      </c>
      <c r="D552" t="s">
        <v>2780</v>
      </c>
      <c r="E552" t="s">
        <v>2818</v>
      </c>
      <c r="F552" t="str">
        <f>"77/307"</f>
        <v>77/307</v>
      </c>
      <c r="G552" t="s">
        <v>566</v>
      </c>
      <c r="H552" t="s">
        <v>567</v>
      </c>
      <c r="I552">
        <v>32.03</v>
      </c>
    </row>
    <row r="553" spans="1:9" ht="12.75">
      <c r="A553">
        <v>548</v>
      </c>
      <c r="B553" t="s">
        <v>568</v>
      </c>
      <c r="C553" t="s">
        <v>2895</v>
      </c>
      <c r="D553" t="s">
        <v>2780</v>
      </c>
      <c r="E553" t="s">
        <v>2818</v>
      </c>
      <c r="F553" t="str">
        <f>"78/307"</f>
        <v>78/307</v>
      </c>
      <c r="G553" t="s">
        <v>569</v>
      </c>
      <c r="H553" t="s">
        <v>570</v>
      </c>
      <c r="I553">
        <v>32.03</v>
      </c>
    </row>
    <row r="554" spans="1:9" ht="12.75">
      <c r="A554">
        <v>549</v>
      </c>
      <c r="B554" t="s">
        <v>571</v>
      </c>
      <c r="C554" t="s">
        <v>2931</v>
      </c>
      <c r="D554" t="s">
        <v>2780</v>
      </c>
      <c r="E554" t="s">
        <v>2781</v>
      </c>
      <c r="F554" t="str">
        <f>"151/329"</f>
        <v>151/329</v>
      </c>
      <c r="G554" t="s">
        <v>572</v>
      </c>
      <c r="H554" t="s">
        <v>573</v>
      </c>
      <c r="I554">
        <v>32.02</v>
      </c>
    </row>
    <row r="555" spans="1:9" ht="12.75">
      <c r="A555">
        <v>550</v>
      </c>
      <c r="B555" t="s">
        <v>574</v>
      </c>
      <c r="C555" t="s">
        <v>2857</v>
      </c>
      <c r="D555" t="s">
        <v>2780</v>
      </c>
      <c r="E555" t="s">
        <v>2823</v>
      </c>
      <c r="F555" t="str">
        <f>"186/504"</f>
        <v>186/504</v>
      </c>
      <c r="G555" t="s">
        <v>575</v>
      </c>
      <c r="H555" t="s">
        <v>576</v>
      </c>
      <c r="I555">
        <v>32.01</v>
      </c>
    </row>
    <row r="556" spans="1:9" ht="12.75">
      <c r="A556">
        <v>551</v>
      </c>
      <c r="B556" t="s">
        <v>577</v>
      </c>
      <c r="C556" t="s">
        <v>3438</v>
      </c>
      <c r="D556" t="s">
        <v>2780</v>
      </c>
      <c r="E556" t="s">
        <v>2781</v>
      </c>
      <c r="F556" t="str">
        <f>"152/329"</f>
        <v>152/329</v>
      </c>
      <c r="G556" t="s">
        <v>3018</v>
      </c>
      <c r="H556" t="s">
        <v>578</v>
      </c>
      <c r="I556">
        <v>32.01</v>
      </c>
    </row>
    <row r="557" spans="1:9" ht="12.75">
      <c r="A557">
        <v>552</v>
      </c>
      <c r="B557" t="s">
        <v>579</v>
      </c>
      <c r="C557" t="s">
        <v>580</v>
      </c>
      <c r="D557" t="s">
        <v>2780</v>
      </c>
      <c r="E557" t="s">
        <v>2973</v>
      </c>
      <c r="F557" t="str">
        <f>"25/167"</f>
        <v>25/167</v>
      </c>
      <c r="G557" t="s">
        <v>581</v>
      </c>
      <c r="H557" t="s">
        <v>582</v>
      </c>
      <c r="I557">
        <v>32</v>
      </c>
    </row>
    <row r="558" spans="1:9" ht="12.75">
      <c r="A558">
        <v>553</v>
      </c>
      <c r="B558" t="s">
        <v>583</v>
      </c>
      <c r="C558" t="s">
        <v>3057</v>
      </c>
      <c r="D558" t="s">
        <v>2780</v>
      </c>
      <c r="E558" t="s">
        <v>2781</v>
      </c>
      <c r="F558" t="str">
        <f>"153/329"</f>
        <v>153/329</v>
      </c>
      <c r="G558" t="s">
        <v>3412</v>
      </c>
      <c r="H558" t="s">
        <v>584</v>
      </c>
      <c r="I558">
        <v>31.99</v>
      </c>
    </row>
    <row r="559" spans="1:9" ht="12.75">
      <c r="A559">
        <v>554</v>
      </c>
      <c r="B559" t="s">
        <v>585</v>
      </c>
      <c r="C559" t="s">
        <v>2868</v>
      </c>
      <c r="D559" t="s">
        <v>2780</v>
      </c>
      <c r="E559" t="s">
        <v>2781</v>
      </c>
      <c r="F559" t="str">
        <f>"154/329"</f>
        <v>154/329</v>
      </c>
      <c r="G559" t="s">
        <v>3507</v>
      </c>
      <c r="H559" t="s">
        <v>586</v>
      </c>
      <c r="I559">
        <v>31.96</v>
      </c>
    </row>
    <row r="560" spans="1:9" ht="12.75">
      <c r="A560">
        <v>555</v>
      </c>
      <c r="B560" t="s">
        <v>587</v>
      </c>
      <c r="C560" t="s">
        <v>588</v>
      </c>
      <c r="D560" t="s">
        <v>2780</v>
      </c>
      <c r="E560" t="s">
        <v>2973</v>
      </c>
      <c r="F560" t="str">
        <f>"26/167"</f>
        <v>26/167</v>
      </c>
      <c r="G560" t="s">
        <v>3214</v>
      </c>
      <c r="H560" t="s">
        <v>589</v>
      </c>
      <c r="I560">
        <v>31.96</v>
      </c>
    </row>
    <row r="561" spans="1:9" ht="12.75">
      <c r="A561">
        <v>556</v>
      </c>
      <c r="B561" t="s">
        <v>590</v>
      </c>
      <c r="C561" t="s">
        <v>2814</v>
      </c>
      <c r="D561" t="s">
        <v>2780</v>
      </c>
      <c r="E561" t="s">
        <v>2781</v>
      </c>
      <c r="F561" t="str">
        <f>"155/329"</f>
        <v>155/329</v>
      </c>
      <c r="G561" t="s">
        <v>3425</v>
      </c>
      <c r="H561" t="s">
        <v>591</v>
      </c>
      <c r="I561">
        <v>31.95</v>
      </c>
    </row>
    <row r="562" spans="1:9" ht="12.75">
      <c r="A562">
        <v>557</v>
      </c>
      <c r="B562" t="s">
        <v>3191</v>
      </c>
      <c r="C562" t="s">
        <v>3141</v>
      </c>
      <c r="D562" t="s">
        <v>2780</v>
      </c>
      <c r="E562" t="s">
        <v>2823</v>
      </c>
      <c r="F562" t="str">
        <f>"187/504"</f>
        <v>187/504</v>
      </c>
      <c r="G562" t="s">
        <v>3300</v>
      </c>
      <c r="H562" t="s">
        <v>592</v>
      </c>
      <c r="I562">
        <v>31.94</v>
      </c>
    </row>
    <row r="563" spans="1:9" ht="12.75">
      <c r="A563">
        <v>558</v>
      </c>
      <c r="B563" t="s">
        <v>593</v>
      </c>
      <c r="C563" t="s">
        <v>3213</v>
      </c>
      <c r="D563" t="s">
        <v>2780</v>
      </c>
      <c r="E563" t="s">
        <v>2823</v>
      </c>
      <c r="F563" t="str">
        <f>"188/504"</f>
        <v>188/504</v>
      </c>
      <c r="G563" t="s">
        <v>594</v>
      </c>
      <c r="H563" t="s">
        <v>595</v>
      </c>
      <c r="I563">
        <v>31.93</v>
      </c>
    </row>
    <row r="564" spans="1:9" ht="12.75">
      <c r="A564">
        <v>559</v>
      </c>
      <c r="B564" t="s">
        <v>596</v>
      </c>
      <c r="C564" t="s">
        <v>3057</v>
      </c>
      <c r="D564" t="s">
        <v>2780</v>
      </c>
      <c r="E564" t="s">
        <v>2823</v>
      </c>
      <c r="F564" t="str">
        <f>"189/504"</f>
        <v>189/504</v>
      </c>
      <c r="G564" t="s">
        <v>420</v>
      </c>
      <c r="H564" t="s">
        <v>597</v>
      </c>
      <c r="I564">
        <v>31.93</v>
      </c>
    </row>
    <row r="565" spans="1:9" ht="12.75">
      <c r="A565">
        <v>560</v>
      </c>
      <c r="B565" t="s">
        <v>598</v>
      </c>
      <c r="C565" t="s">
        <v>599</v>
      </c>
      <c r="D565" t="s">
        <v>2780</v>
      </c>
      <c r="E565" t="s">
        <v>2818</v>
      </c>
      <c r="F565" t="str">
        <f>"79/307"</f>
        <v>79/307</v>
      </c>
      <c r="G565" t="s">
        <v>3042</v>
      </c>
      <c r="H565" t="s">
        <v>600</v>
      </c>
      <c r="I565">
        <v>31.92</v>
      </c>
    </row>
    <row r="566" spans="1:9" ht="12.75">
      <c r="A566">
        <v>561</v>
      </c>
      <c r="B566" t="s">
        <v>3000</v>
      </c>
      <c r="C566" t="s">
        <v>3337</v>
      </c>
      <c r="D566" t="s">
        <v>2780</v>
      </c>
      <c r="E566" t="s">
        <v>2781</v>
      </c>
      <c r="F566" t="str">
        <f>"156/329"</f>
        <v>156/329</v>
      </c>
      <c r="G566" t="s">
        <v>601</v>
      </c>
      <c r="H566" t="s">
        <v>602</v>
      </c>
      <c r="I566">
        <v>31.92</v>
      </c>
    </row>
    <row r="567" spans="1:9" ht="12.75">
      <c r="A567">
        <v>562</v>
      </c>
      <c r="B567" t="s">
        <v>603</v>
      </c>
      <c r="C567" t="s">
        <v>504</v>
      </c>
      <c r="D567" t="s">
        <v>2780</v>
      </c>
      <c r="E567" t="s">
        <v>2799</v>
      </c>
      <c r="F567" t="str">
        <f>"48/99"</f>
        <v>48/99</v>
      </c>
      <c r="G567" t="s">
        <v>604</v>
      </c>
      <c r="H567" t="s">
        <v>605</v>
      </c>
      <c r="I567">
        <v>31.92</v>
      </c>
    </row>
    <row r="568" spans="1:9" ht="12.75">
      <c r="A568">
        <v>563</v>
      </c>
      <c r="B568" t="s">
        <v>606</v>
      </c>
      <c r="C568" t="s">
        <v>2865</v>
      </c>
      <c r="D568" t="s">
        <v>2780</v>
      </c>
      <c r="E568" t="s">
        <v>2818</v>
      </c>
      <c r="F568" t="str">
        <f>"80/307"</f>
        <v>80/307</v>
      </c>
      <c r="G568" t="s">
        <v>607</v>
      </c>
      <c r="H568" t="s">
        <v>608</v>
      </c>
      <c r="I568">
        <v>31.91</v>
      </c>
    </row>
    <row r="569" spans="1:9" ht="12.75">
      <c r="A569">
        <v>564</v>
      </c>
      <c r="B569" t="s">
        <v>609</v>
      </c>
      <c r="C569" t="s">
        <v>610</v>
      </c>
      <c r="D569" t="s">
        <v>2780</v>
      </c>
      <c r="E569" t="s">
        <v>2781</v>
      </c>
      <c r="F569" t="str">
        <f>"157/329"</f>
        <v>157/329</v>
      </c>
      <c r="G569" t="s">
        <v>3060</v>
      </c>
      <c r="H569" t="s">
        <v>611</v>
      </c>
      <c r="I569">
        <v>31.91</v>
      </c>
    </row>
    <row r="570" spans="1:9" ht="12.75">
      <c r="A570">
        <v>565</v>
      </c>
      <c r="B570" t="s">
        <v>612</v>
      </c>
      <c r="C570" t="s">
        <v>2857</v>
      </c>
      <c r="D570" t="s">
        <v>2780</v>
      </c>
      <c r="E570" t="s">
        <v>2823</v>
      </c>
      <c r="F570" t="str">
        <f>"190/504"</f>
        <v>190/504</v>
      </c>
      <c r="G570" t="s">
        <v>3391</v>
      </c>
      <c r="H570" t="s">
        <v>613</v>
      </c>
      <c r="I570">
        <v>31.91</v>
      </c>
    </row>
    <row r="571" spans="1:9" ht="12.75">
      <c r="A571">
        <v>566</v>
      </c>
      <c r="B571" t="s">
        <v>614</v>
      </c>
      <c r="C571" t="s">
        <v>615</v>
      </c>
      <c r="D571" t="s">
        <v>2780</v>
      </c>
      <c r="E571" t="s">
        <v>2818</v>
      </c>
      <c r="F571" t="str">
        <f>"81/307"</f>
        <v>81/307</v>
      </c>
      <c r="G571" t="s">
        <v>2974</v>
      </c>
      <c r="H571" t="s">
        <v>616</v>
      </c>
      <c r="I571">
        <v>31.91</v>
      </c>
    </row>
    <row r="572" spans="1:9" ht="12.75">
      <c r="A572">
        <v>567</v>
      </c>
      <c r="B572" t="s">
        <v>617</v>
      </c>
      <c r="C572" t="s">
        <v>2951</v>
      </c>
      <c r="D572" t="s">
        <v>2780</v>
      </c>
      <c r="E572" t="s">
        <v>2781</v>
      </c>
      <c r="F572" t="str">
        <f>"158/329"</f>
        <v>158/329</v>
      </c>
      <c r="G572" t="s">
        <v>607</v>
      </c>
      <c r="H572" t="s">
        <v>618</v>
      </c>
      <c r="I572">
        <v>31.87</v>
      </c>
    </row>
    <row r="573" spans="1:9" ht="12.75">
      <c r="A573">
        <v>568</v>
      </c>
      <c r="B573" t="s">
        <v>619</v>
      </c>
      <c r="C573" t="s">
        <v>3346</v>
      </c>
      <c r="D573" t="s">
        <v>2780</v>
      </c>
      <c r="E573" t="s">
        <v>2818</v>
      </c>
      <c r="F573" t="str">
        <f>"82/307"</f>
        <v>82/307</v>
      </c>
      <c r="G573" t="s">
        <v>3075</v>
      </c>
      <c r="H573" t="s">
        <v>620</v>
      </c>
      <c r="I573">
        <v>31.87</v>
      </c>
    </row>
    <row r="574" spans="1:9" ht="12.75">
      <c r="A574">
        <v>569</v>
      </c>
      <c r="B574" t="s">
        <v>621</v>
      </c>
      <c r="C574" t="s">
        <v>3114</v>
      </c>
      <c r="D574" t="s">
        <v>2780</v>
      </c>
      <c r="E574" t="s">
        <v>2786</v>
      </c>
      <c r="F574" t="str">
        <f>"38/58"</f>
        <v>38/58</v>
      </c>
      <c r="G574" t="s">
        <v>81</v>
      </c>
      <c r="H574" t="s">
        <v>622</v>
      </c>
      <c r="I574">
        <v>31.87</v>
      </c>
    </row>
    <row r="575" spans="1:9" ht="12.75">
      <c r="A575">
        <v>570</v>
      </c>
      <c r="B575" t="s">
        <v>623</v>
      </c>
      <c r="C575" t="s">
        <v>504</v>
      </c>
      <c r="D575" t="s">
        <v>2780</v>
      </c>
      <c r="E575" t="s">
        <v>2973</v>
      </c>
      <c r="F575" t="str">
        <f>"27/167"</f>
        <v>27/167</v>
      </c>
      <c r="G575" t="s">
        <v>624</v>
      </c>
      <c r="H575" t="s">
        <v>625</v>
      </c>
      <c r="I575">
        <v>31.87</v>
      </c>
    </row>
    <row r="576" spans="1:9" ht="12.75">
      <c r="A576">
        <v>571</v>
      </c>
      <c r="B576" t="s">
        <v>626</v>
      </c>
      <c r="C576" t="s">
        <v>627</v>
      </c>
      <c r="D576" t="s">
        <v>2780</v>
      </c>
      <c r="E576" t="s">
        <v>2781</v>
      </c>
      <c r="F576" t="str">
        <f>"159/329"</f>
        <v>159/329</v>
      </c>
      <c r="G576" t="s">
        <v>3535</v>
      </c>
      <c r="H576" t="s">
        <v>628</v>
      </c>
      <c r="I576">
        <v>31.86</v>
      </c>
    </row>
    <row r="577" spans="1:9" ht="12.75">
      <c r="A577">
        <v>572</v>
      </c>
      <c r="B577" t="s">
        <v>629</v>
      </c>
      <c r="C577" t="s">
        <v>2942</v>
      </c>
      <c r="D577" t="s">
        <v>2780</v>
      </c>
      <c r="E577" t="s">
        <v>2823</v>
      </c>
      <c r="F577" t="str">
        <f>"191/504"</f>
        <v>191/504</v>
      </c>
      <c r="G577" t="s">
        <v>3236</v>
      </c>
      <c r="H577" t="s">
        <v>630</v>
      </c>
      <c r="I577">
        <v>31.86</v>
      </c>
    </row>
    <row r="578" spans="1:9" ht="12.75">
      <c r="A578">
        <v>573</v>
      </c>
      <c r="B578" t="s">
        <v>61</v>
      </c>
      <c r="C578" t="s">
        <v>2836</v>
      </c>
      <c r="D578" t="s">
        <v>2780</v>
      </c>
      <c r="E578" t="s">
        <v>2823</v>
      </c>
      <c r="F578" t="str">
        <f>"192/504"</f>
        <v>192/504</v>
      </c>
      <c r="G578" t="s">
        <v>566</v>
      </c>
      <c r="H578" t="s">
        <v>631</v>
      </c>
      <c r="I578">
        <v>31.86</v>
      </c>
    </row>
    <row r="579" spans="1:9" ht="12.75">
      <c r="A579">
        <v>574</v>
      </c>
      <c r="B579" t="s">
        <v>632</v>
      </c>
      <c r="C579" t="s">
        <v>633</v>
      </c>
      <c r="D579" t="s">
        <v>2780</v>
      </c>
      <c r="E579" t="s">
        <v>2823</v>
      </c>
      <c r="F579" t="str">
        <f>"193/504"</f>
        <v>193/504</v>
      </c>
      <c r="G579" t="s">
        <v>3236</v>
      </c>
      <c r="H579" t="s">
        <v>634</v>
      </c>
      <c r="I579">
        <v>31.86</v>
      </c>
    </row>
    <row r="580" spans="1:9" ht="12.75">
      <c r="A580">
        <v>575</v>
      </c>
      <c r="B580" t="s">
        <v>635</v>
      </c>
      <c r="C580" t="s">
        <v>3346</v>
      </c>
      <c r="D580" t="s">
        <v>2780</v>
      </c>
      <c r="E580" t="s">
        <v>2823</v>
      </c>
      <c r="F580" t="str">
        <f>"194/504"</f>
        <v>194/504</v>
      </c>
      <c r="G580" t="s">
        <v>636</v>
      </c>
      <c r="H580" t="s">
        <v>637</v>
      </c>
      <c r="I580">
        <v>31.85</v>
      </c>
    </row>
    <row r="581" spans="1:9" ht="12.75">
      <c r="A581">
        <v>576</v>
      </c>
      <c r="B581" t="s">
        <v>638</v>
      </c>
      <c r="C581" t="s">
        <v>639</v>
      </c>
      <c r="D581" t="s">
        <v>2780</v>
      </c>
      <c r="E581" t="s">
        <v>2823</v>
      </c>
      <c r="F581" t="str">
        <f>"195/504"</f>
        <v>195/504</v>
      </c>
      <c r="G581" t="s">
        <v>3289</v>
      </c>
      <c r="H581" t="s">
        <v>640</v>
      </c>
      <c r="I581">
        <v>31.85</v>
      </c>
    </row>
    <row r="582" spans="1:9" ht="12.75">
      <c r="A582">
        <v>577</v>
      </c>
      <c r="B582" t="s">
        <v>641</v>
      </c>
      <c r="C582" t="s">
        <v>3174</v>
      </c>
      <c r="D582" t="s">
        <v>2780</v>
      </c>
      <c r="E582" t="s">
        <v>2823</v>
      </c>
      <c r="F582" t="str">
        <f>"196/504"</f>
        <v>196/504</v>
      </c>
      <c r="G582" t="s">
        <v>2782</v>
      </c>
      <c r="H582" t="s">
        <v>642</v>
      </c>
      <c r="I582">
        <v>31.85</v>
      </c>
    </row>
    <row r="583" spans="1:9" ht="12.75">
      <c r="A583">
        <v>578</v>
      </c>
      <c r="B583" t="s">
        <v>643</v>
      </c>
      <c r="C583" t="s">
        <v>2814</v>
      </c>
      <c r="D583" t="s">
        <v>2780</v>
      </c>
      <c r="E583" t="s">
        <v>2823</v>
      </c>
      <c r="F583" t="str">
        <f>"197/504"</f>
        <v>197/504</v>
      </c>
      <c r="G583" t="s">
        <v>3422</v>
      </c>
      <c r="H583" t="s">
        <v>644</v>
      </c>
      <c r="I583">
        <v>31.84</v>
      </c>
    </row>
    <row r="584" spans="1:9" ht="12.75">
      <c r="A584">
        <v>579</v>
      </c>
      <c r="B584" t="s">
        <v>645</v>
      </c>
      <c r="C584" t="s">
        <v>646</v>
      </c>
      <c r="D584" t="s">
        <v>2780</v>
      </c>
      <c r="E584" t="s">
        <v>2786</v>
      </c>
      <c r="F584" t="str">
        <f>"39/58"</f>
        <v>39/58</v>
      </c>
      <c r="G584" t="s">
        <v>647</v>
      </c>
      <c r="H584" t="s">
        <v>648</v>
      </c>
      <c r="I584">
        <v>31.83</v>
      </c>
    </row>
    <row r="585" spans="1:9" ht="12.75">
      <c r="A585">
        <v>580</v>
      </c>
      <c r="B585" t="s">
        <v>649</v>
      </c>
      <c r="C585" t="s">
        <v>3114</v>
      </c>
      <c r="D585" t="s">
        <v>2780</v>
      </c>
      <c r="E585" t="s">
        <v>2781</v>
      </c>
      <c r="F585" t="str">
        <f>"160/329"</f>
        <v>160/329</v>
      </c>
      <c r="G585" t="s">
        <v>57</v>
      </c>
      <c r="H585" t="s">
        <v>650</v>
      </c>
      <c r="I585">
        <v>31.82</v>
      </c>
    </row>
    <row r="586" spans="1:9" ht="12.75">
      <c r="A586">
        <v>581</v>
      </c>
      <c r="B586" t="s">
        <v>651</v>
      </c>
      <c r="C586" t="s">
        <v>3108</v>
      </c>
      <c r="D586" t="s">
        <v>2780</v>
      </c>
      <c r="E586" t="s">
        <v>2781</v>
      </c>
      <c r="F586" t="str">
        <f>"161/329"</f>
        <v>161/329</v>
      </c>
      <c r="G586" t="s">
        <v>652</v>
      </c>
      <c r="H586" t="s">
        <v>653</v>
      </c>
      <c r="I586">
        <v>31.8</v>
      </c>
    </row>
    <row r="587" spans="1:9" ht="12.75">
      <c r="A587">
        <v>582</v>
      </c>
      <c r="B587" t="s">
        <v>654</v>
      </c>
      <c r="C587" t="s">
        <v>2963</v>
      </c>
      <c r="D587" t="s">
        <v>2780</v>
      </c>
      <c r="E587" t="s">
        <v>2823</v>
      </c>
      <c r="F587" t="str">
        <f>"198/504"</f>
        <v>198/504</v>
      </c>
      <c r="G587" t="s">
        <v>655</v>
      </c>
      <c r="H587" t="s">
        <v>653</v>
      </c>
      <c r="I587">
        <v>31.8</v>
      </c>
    </row>
    <row r="588" spans="1:9" ht="12.75">
      <c r="A588">
        <v>583</v>
      </c>
      <c r="B588" t="s">
        <v>656</v>
      </c>
      <c r="C588" t="s">
        <v>3102</v>
      </c>
      <c r="D588" t="s">
        <v>2780</v>
      </c>
      <c r="E588" t="s">
        <v>2823</v>
      </c>
      <c r="F588" t="str">
        <f>"199/504"</f>
        <v>199/504</v>
      </c>
      <c r="G588" t="s">
        <v>657</v>
      </c>
      <c r="H588" t="s">
        <v>658</v>
      </c>
      <c r="I588">
        <v>31.8</v>
      </c>
    </row>
    <row r="589" spans="1:9" ht="12.75">
      <c r="A589">
        <v>584</v>
      </c>
      <c r="B589" t="s">
        <v>659</v>
      </c>
      <c r="C589" t="s">
        <v>660</v>
      </c>
      <c r="D589" t="s">
        <v>2780</v>
      </c>
      <c r="E589" t="s">
        <v>2781</v>
      </c>
      <c r="F589" t="str">
        <f>"162/329"</f>
        <v>162/329</v>
      </c>
      <c r="G589" t="s">
        <v>661</v>
      </c>
      <c r="H589" t="s">
        <v>658</v>
      </c>
      <c r="I589">
        <v>31.8</v>
      </c>
    </row>
    <row r="590" spans="1:9" ht="12.75">
      <c r="A590">
        <v>585</v>
      </c>
      <c r="B590" t="s">
        <v>662</v>
      </c>
      <c r="C590" t="s">
        <v>3387</v>
      </c>
      <c r="D590" t="s">
        <v>2780</v>
      </c>
      <c r="E590" t="s">
        <v>2823</v>
      </c>
      <c r="F590" t="str">
        <f>"200/504"</f>
        <v>200/504</v>
      </c>
      <c r="G590" t="s">
        <v>2877</v>
      </c>
      <c r="H590" t="s">
        <v>658</v>
      </c>
      <c r="I590">
        <v>31.8</v>
      </c>
    </row>
    <row r="591" spans="1:9" ht="12.75">
      <c r="A591">
        <v>586</v>
      </c>
      <c r="B591" t="s">
        <v>663</v>
      </c>
      <c r="C591" t="s">
        <v>3141</v>
      </c>
      <c r="D591" t="s">
        <v>2780</v>
      </c>
      <c r="E591" t="s">
        <v>2781</v>
      </c>
      <c r="F591" t="str">
        <f>"163/329"</f>
        <v>163/329</v>
      </c>
      <c r="G591" t="s">
        <v>664</v>
      </c>
      <c r="H591" t="s">
        <v>665</v>
      </c>
      <c r="I591">
        <v>31.77</v>
      </c>
    </row>
    <row r="592" spans="1:9" ht="12.75">
      <c r="A592">
        <v>587</v>
      </c>
      <c r="B592" t="s">
        <v>666</v>
      </c>
      <c r="C592" t="s">
        <v>3464</v>
      </c>
      <c r="D592" t="s">
        <v>2780</v>
      </c>
      <c r="E592" t="s">
        <v>2823</v>
      </c>
      <c r="F592" t="str">
        <f>"201/504"</f>
        <v>201/504</v>
      </c>
      <c r="G592" t="s">
        <v>667</v>
      </c>
      <c r="H592" t="s">
        <v>668</v>
      </c>
      <c r="I592">
        <v>31.76</v>
      </c>
    </row>
    <row r="593" spans="1:9" ht="12.75">
      <c r="A593">
        <v>588</v>
      </c>
      <c r="B593" t="s">
        <v>669</v>
      </c>
      <c r="C593" t="s">
        <v>3114</v>
      </c>
      <c r="D593" t="s">
        <v>2780</v>
      </c>
      <c r="E593" t="s">
        <v>2799</v>
      </c>
      <c r="F593" t="str">
        <f>"49/99"</f>
        <v>49/99</v>
      </c>
      <c r="G593" t="s">
        <v>670</v>
      </c>
      <c r="H593" t="s">
        <v>671</v>
      </c>
      <c r="I593">
        <v>31.76</v>
      </c>
    </row>
    <row r="594" spans="1:9" ht="12.75">
      <c r="A594">
        <v>589</v>
      </c>
      <c r="B594" t="s">
        <v>672</v>
      </c>
      <c r="C594" t="s">
        <v>2814</v>
      </c>
      <c r="D594" t="s">
        <v>2780</v>
      </c>
      <c r="E594" t="s">
        <v>2818</v>
      </c>
      <c r="F594" t="str">
        <f>"83/307"</f>
        <v>83/307</v>
      </c>
      <c r="G594" t="s">
        <v>673</v>
      </c>
      <c r="H594" t="s">
        <v>674</v>
      </c>
      <c r="I594">
        <v>31.76</v>
      </c>
    </row>
    <row r="595" spans="1:9" ht="12.75">
      <c r="A595">
        <v>590</v>
      </c>
      <c r="B595" t="s">
        <v>675</v>
      </c>
      <c r="C595" t="s">
        <v>2963</v>
      </c>
      <c r="D595" t="s">
        <v>2780</v>
      </c>
      <c r="E595" t="s">
        <v>2823</v>
      </c>
      <c r="F595" t="str">
        <f>"202/504"</f>
        <v>202/504</v>
      </c>
      <c r="G595" t="s">
        <v>3067</v>
      </c>
      <c r="H595" t="s">
        <v>676</v>
      </c>
      <c r="I595">
        <v>31.75</v>
      </c>
    </row>
    <row r="596" spans="1:9" ht="12.75">
      <c r="A596">
        <v>591</v>
      </c>
      <c r="B596" t="s">
        <v>3313</v>
      </c>
      <c r="C596" t="s">
        <v>43</v>
      </c>
      <c r="D596" t="s">
        <v>2780</v>
      </c>
      <c r="E596" t="s">
        <v>2818</v>
      </c>
      <c r="F596" t="str">
        <f>"84/307"</f>
        <v>84/307</v>
      </c>
      <c r="G596" t="s">
        <v>677</v>
      </c>
      <c r="H596" t="s">
        <v>678</v>
      </c>
      <c r="I596">
        <v>31.74</v>
      </c>
    </row>
    <row r="597" spans="1:9" ht="12.75">
      <c r="A597">
        <v>592</v>
      </c>
      <c r="B597" t="s">
        <v>679</v>
      </c>
      <c r="C597" t="s">
        <v>2861</v>
      </c>
      <c r="D597" t="s">
        <v>2780</v>
      </c>
      <c r="E597" t="s">
        <v>2823</v>
      </c>
      <c r="F597" t="str">
        <f>"203/504"</f>
        <v>203/504</v>
      </c>
      <c r="G597" t="s">
        <v>3289</v>
      </c>
      <c r="H597" t="s">
        <v>680</v>
      </c>
      <c r="I597">
        <v>31.74</v>
      </c>
    </row>
    <row r="598" spans="1:9" ht="12.75">
      <c r="A598">
        <v>593</v>
      </c>
      <c r="B598" t="s">
        <v>681</v>
      </c>
      <c r="C598" t="s">
        <v>2868</v>
      </c>
      <c r="D598" t="s">
        <v>2780</v>
      </c>
      <c r="E598" t="s">
        <v>2818</v>
      </c>
      <c r="F598" t="str">
        <f>"85/307"</f>
        <v>85/307</v>
      </c>
      <c r="G598" t="s">
        <v>3640</v>
      </c>
      <c r="H598" t="s">
        <v>682</v>
      </c>
      <c r="I598">
        <v>31.74</v>
      </c>
    </row>
    <row r="599" spans="1:9" ht="12.75">
      <c r="A599">
        <v>594</v>
      </c>
      <c r="B599" t="s">
        <v>683</v>
      </c>
      <c r="C599" t="s">
        <v>3147</v>
      </c>
      <c r="D599" t="s">
        <v>2780</v>
      </c>
      <c r="E599" t="s">
        <v>2818</v>
      </c>
      <c r="F599" t="str">
        <f>"86/307"</f>
        <v>86/307</v>
      </c>
      <c r="G599" t="s">
        <v>673</v>
      </c>
      <c r="H599" t="s">
        <v>684</v>
      </c>
      <c r="I599">
        <v>31.73</v>
      </c>
    </row>
    <row r="600" spans="1:9" ht="12.75">
      <c r="A600">
        <v>595</v>
      </c>
      <c r="B600" t="s">
        <v>2945</v>
      </c>
      <c r="C600" t="s">
        <v>84</v>
      </c>
      <c r="D600" t="s">
        <v>2780</v>
      </c>
      <c r="E600" t="s">
        <v>2818</v>
      </c>
      <c r="F600" t="str">
        <f>"87/307"</f>
        <v>87/307</v>
      </c>
      <c r="G600" t="s">
        <v>3049</v>
      </c>
      <c r="H600" t="s">
        <v>685</v>
      </c>
      <c r="I600">
        <v>31.73</v>
      </c>
    </row>
    <row r="601" spans="1:9" ht="12.75">
      <c r="A601">
        <v>596</v>
      </c>
      <c r="B601" t="s">
        <v>686</v>
      </c>
      <c r="C601" t="s">
        <v>2779</v>
      </c>
      <c r="D601" t="s">
        <v>2780</v>
      </c>
      <c r="E601" t="s">
        <v>2799</v>
      </c>
      <c r="F601" t="str">
        <f>"50/99"</f>
        <v>50/99</v>
      </c>
      <c r="G601" t="s">
        <v>687</v>
      </c>
      <c r="H601" t="s">
        <v>688</v>
      </c>
      <c r="I601">
        <v>31.72</v>
      </c>
    </row>
    <row r="602" spans="1:9" ht="12.75">
      <c r="A602">
        <v>597</v>
      </c>
      <c r="B602" t="s">
        <v>689</v>
      </c>
      <c r="C602" t="s">
        <v>3102</v>
      </c>
      <c r="D602" t="s">
        <v>2780</v>
      </c>
      <c r="E602" t="s">
        <v>2781</v>
      </c>
      <c r="F602" t="str">
        <f>"164/329"</f>
        <v>164/329</v>
      </c>
      <c r="G602" t="s">
        <v>3088</v>
      </c>
      <c r="H602" t="s">
        <v>690</v>
      </c>
      <c r="I602">
        <v>31.72</v>
      </c>
    </row>
    <row r="603" spans="1:9" ht="12.75">
      <c r="A603">
        <v>598</v>
      </c>
      <c r="B603" t="s">
        <v>691</v>
      </c>
      <c r="C603" t="s">
        <v>692</v>
      </c>
      <c r="D603" t="s">
        <v>2780</v>
      </c>
      <c r="E603" t="s">
        <v>3209</v>
      </c>
      <c r="F603" t="str">
        <f>"3/62"</f>
        <v>3/62</v>
      </c>
      <c r="G603" t="s">
        <v>693</v>
      </c>
      <c r="H603" t="s">
        <v>694</v>
      </c>
      <c r="I603">
        <v>31.72</v>
      </c>
    </row>
    <row r="604" spans="1:9" ht="12.75">
      <c r="A604">
        <v>599</v>
      </c>
      <c r="B604" t="s">
        <v>695</v>
      </c>
      <c r="C604" t="s">
        <v>696</v>
      </c>
      <c r="D604" t="s">
        <v>2780</v>
      </c>
      <c r="E604" t="s">
        <v>2781</v>
      </c>
      <c r="F604" t="str">
        <f>"165/329"</f>
        <v>165/329</v>
      </c>
      <c r="G604" t="s">
        <v>697</v>
      </c>
      <c r="H604" t="s">
        <v>698</v>
      </c>
      <c r="I604">
        <v>31.72</v>
      </c>
    </row>
    <row r="605" spans="1:9" ht="12.75">
      <c r="A605">
        <v>600</v>
      </c>
      <c r="B605" t="s">
        <v>699</v>
      </c>
      <c r="C605" t="s">
        <v>700</v>
      </c>
      <c r="D605" t="s">
        <v>2780</v>
      </c>
      <c r="E605" t="s">
        <v>2823</v>
      </c>
      <c r="F605" t="str">
        <f>"204/504"</f>
        <v>204/504</v>
      </c>
      <c r="G605" t="s">
        <v>701</v>
      </c>
      <c r="H605" t="s">
        <v>702</v>
      </c>
      <c r="I605">
        <v>31.71</v>
      </c>
    </row>
    <row r="606" spans="1:9" ht="12.75">
      <c r="A606">
        <v>601</v>
      </c>
      <c r="B606" t="s">
        <v>206</v>
      </c>
      <c r="C606" t="s">
        <v>3346</v>
      </c>
      <c r="D606" t="s">
        <v>2780</v>
      </c>
      <c r="E606" t="s">
        <v>2818</v>
      </c>
      <c r="F606" t="str">
        <f>"88/307"</f>
        <v>88/307</v>
      </c>
      <c r="G606" t="s">
        <v>563</v>
      </c>
      <c r="H606" t="s">
        <v>703</v>
      </c>
      <c r="I606">
        <v>31.71</v>
      </c>
    </row>
    <row r="607" spans="1:9" ht="12.75">
      <c r="A607">
        <v>602</v>
      </c>
      <c r="B607" t="s">
        <v>704</v>
      </c>
      <c r="C607" t="s">
        <v>3205</v>
      </c>
      <c r="D607" t="s">
        <v>2780</v>
      </c>
      <c r="E607" t="s">
        <v>2823</v>
      </c>
      <c r="F607" t="str">
        <f>"205/504"</f>
        <v>205/504</v>
      </c>
      <c r="G607" t="s">
        <v>3640</v>
      </c>
      <c r="H607" t="s">
        <v>705</v>
      </c>
      <c r="I607">
        <v>31.71</v>
      </c>
    </row>
    <row r="608" spans="1:9" ht="12.75">
      <c r="A608">
        <v>603</v>
      </c>
      <c r="B608" t="s">
        <v>706</v>
      </c>
      <c r="C608" t="s">
        <v>3057</v>
      </c>
      <c r="D608" t="s">
        <v>2780</v>
      </c>
      <c r="E608" t="s">
        <v>2818</v>
      </c>
      <c r="F608" t="str">
        <f>"89/307"</f>
        <v>89/307</v>
      </c>
      <c r="G608" t="s">
        <v>707</v>
      </c>
      <c r="H608" t="s">
        <v>708</v>
      </c>
      <c r="I608">
        <v>31.71</v>
      </c>
    </row>
    <row r="609" spans="1:9" ht="12.75">
      <c r="A609">
        <v>604</v>
      </c>
      <c r="B609" t="s">
        <v>709</v>
      </c>
      <c r="C609" t="s">
        <v>2868</v>
      </c>
      <c r="D609" t="s">
        <v>2780</v>
      </c>
      <c r="E609" t="s">
        <v>2781</v>
      </c>
      <c r="F609" t="str">
        <f>"166/329"</f>
        <v>166/329</v>
      </c>
      <c r="G609" t="s">
        <v>3088</v>
      </c>
      <c r="H609" t="s">
        <v>710</v>
      </c>
      <c r="I609">
        <v>31.71</v>
      </c>
    </row>
    <row r="610" spans="1:9" ht="12.75">
      <c r="A610">
        <v>605</v>
      </c>
      <c r="B610" t="s">
        <v>711</v>
      </c>
      <c r="C610" t="s">
        <v>2865</v>
      </c>
      <c r="D610" t="s">
        <v>2780</v>
      </c>
      <c r="E610" t="s">
        <v>2973</v>
      </c>
      <c r="F610" t="str">
        <f>"28/167"</f>
        <v>28/167</v>
      </c>
      <c r="G610" t="s">
        <v>712</v>
      </c>
      <c r="H610" t="s">
        <v>713</v>
      </c>
      <c r="I610">
        <v>31.7</v>
      </c>
    </row>
    <row r="611" spans="1:9" ht="12.75">
      <c r="A611">
        <v>606</v>
      </c>
      <c r="B611" t="s">
        <v>714</v>
      </c>
      <c r="C611" t="s">
        <v>3346</v>
      </c>
      <c r="D611" t="s">
        <v>2780</v>
      </c>
      <c r="E611" t="s">
        <v>2818</v>
      </c>
      <c r="F611" t="str">
        <f>"90/307"</f>
        <v>90/307</v>
      </c>
      <c r="G611" t="s">
        <v>715</v>
      </c>
      <c r="H611" t="s">
        <v>716</v>
      </c>
      <c r="I611">
        <v>31.69</v>
      </c>
    </row>
    <row r="612" spans="1:9" ht="12.75">
      <c r="A612">
        <v>607</v>
      </c>
      <c r="B612" t="s">
        <v>94</v>
      </c>
      <c r="C612" t="s">
        <v>2817</v>
      </c>
      <c r="D612" t="s">
        <v>2780</v>
      </c>
      <c r="E612" t="s">
        <v>2818</v>
      </c>
      <c r="F612" t="str">
        <f>"91/307"</f>
        <v>91/307</v>
      </c>
      <c r="G612" t="s">
        <v>717</v>
      </c>
      <c r="H612" t="s">
        <v>718</v>
      </c>
      <c r="I612">
        <v>31.69</v>
      </c>
    </row>
    <row r="613" spans="1:9" ht="12.75">
      <c r="A613">
        <v>608</v>
      </c>
      <c r="B613" t="s">
        <v>719</v>
      </c>
      <c r="C613" t="s">
        <v>3201</v>
      </c>
      <c r="D613" t="s">
        <v>2780</v>
      </c>
      <c r="E613" t="s">
        <v>2781</v>
      </c>
      <c r="F613" t="str">
        <f>"167/329"</f>
        <v>167/329</v>
      </c>
      <c r="G613" t="s">
        <v>720</v>
      </c>
      <c r="H613" t="s">
        <v>721</v>
      </c>
      <c r="I613">
        <v>31.69</v>
      </c>
    </row>
    <row r="614" spans="1:9" ht="12.75">
      <c r="A614">
        <v>609</v>
      </c>
      <c r="B614" t="s">
        <v>722</v>
      </c>
      <c r="C614" t="s">
        <v>723</v>
      </c>
      <c r="D614" t="s">
        <v>2780</v>
      </c>
      <c r="E614" t="s">
        <v>2799</v>
      </c>
      <c r="F614" t="str">
        <f>"51/99"</f>
        <v>51/99</v>
      </c>
      <c r="G614" t="s">
        <v>724</v>
      </c>
      <c r="H614" t="s">
        <v>725</v>
      </c>
      <c r="I614">
        <v>31.68</v>
      </c>
    </row>
    <row r="615" spans="1:9" ht="12.75">
      <c r="A615">
        <v>610</v>
      </c>
      <c r="B615" t="s">
        <v>726</v>
      </c>
      <c r="C615" t="s">
        <v>3633</v>
      </c>
      <c r="D615" t="s">
        <v>2780</v>
      </c>
      <c r="E615" t="s">
        <v>2823</v>
      </c>
      <c r="F615" t="str">
        <f>"206/504"</f>
        <v>206/504</v>
      </c>
      <c r="G615" t="s">
        <v>727</v>
      </c>
      <c r="H615" t="s">
        <v>728</v>
      </c>
      <c r="I615">
        <v>31.67</v>
      </c>
    </row>
    <row r="616" spans="1:9" ht="12.75">
      <c r="A616">
        <v>611</v>
      </c>
      <c r="B616" t="s">
        <v>729</v>
      </c>
      <c r="C616" t="s">
        <v>2830</v>
      </c>
      <c r="D616" t="s">
        <v>2780</v>
      </c>
      <c r="E616" t="s">
        <v>2823</v>
      </c>
      <c r="F616" t="str">
        <f>"207/504"</f>
        <v>207/504</v>
      </c>
      <c r="G616" t="s">
        <v>2804</v>
      </c>
      <c r="H616" t="s">
        <v>730</v>
      </c>
      <c r="I616">
        <v>31.66</v>
      </c>
    </row>
    <row r="617" spans="1:9" ht="12.75">
      <c r="A617">
        <v>612</v>
      </c>
      <c r="B617" t="s">
        <v>731</v>
      </c>
      <c r="C617" t="s">
        <v>732</v>
      </c>
      <c r="D617" t="s">
        <v>3031</v>
      </c>
      <c r="E617" t="s">
        <v>3244</v>
      </c>
      <c r="F617" t="str">
        <f>"8/63"</f>
        <v>8/63</v>
      </c>
      <c r="G617" t="s">
        <v>733</v>
      </c>
      <c r="H617" t="s">
        <v>734</v>
      </c>
      <c r="I617">
        <v>31.66</v>
      </c>
    </row>
    <row r="618" spans="1:9" ht="12.75">
      <c r="A618">
        <v>613</v>
      </c>
      <c r="B618" t="s">
        <v>735</v>
      </c>
      <c r="C618" t="s">
        <v>736</v>
      </c>
      <c r="D618" t="s">
        <v>2780</v>
      </c>
      <c r="E618" t="s">
        <v>2823</v>
      </c>
      <c r="F618" t="str">
        <f>"208/504"</f>
        <v>208/504</v>
      </c>
      <c r="G618" t="s">
        <v>737</v>
      </c>
      <c r="H618" t="s">
        <v>738</v>
      </c>
      <c r="I618">
        <v>31.65</v>
      </c>
    </row>
    <row r="619" spans="1:9" ht="12.75">
      <c r="A619">
        <v>614</v>
      </c>
      <c r="B619" t="s">
        <v>2797</v>
      </c>
      <c r="C619" t="s">
        <v>2810</v>
      </c>
      <c r="D619" t="s">
        <v>2780</v>
      </c>
      <c r="E619" t="s">
        <v>2823</v>
      </c>
      <c r="F619" t="str">
        <f>"209/504"</f>
        <v>209/504</v>
      </c>
      <c r="G619" t="s">
        <v>739</v>
      </c>
      <c r="H619" t="s">
        <v>740</v>
      </c>
      <c r="I619">
        <v>31.64</v>
      </c>
    </row>
    <row r="620" spans="1:9" ht="12.75">
      <c r="A620">
        <v>615</v>
      </c>
      <c r="B620" t="s">
        <v>741</v>
      </c>
      <c r="C620" t="s">
        <v>742</v>
      </c>
      <c r="D620" t="s">
        <v>2780</v>
      </c>
      <c r="E620" t="s">
        <v>2823</v>
      </c>
      <c r="F620" t="str">
        <f>"210/504"</f>
        <v>210/504</v>
      </c>
      <c r="G620" t="s">
        <v>737</v>
      </c>
      <c r="H620" t="s">
        <v>743</v>
      </c>
      <c r="I620">
        <v>31.64</v>
      </c>
    </row>
    <row r="621" spans="1:9" ht="12.75">
      <c r="A621">
        <v>616</v>
      </c>
      <c r="B621" t="s">
        <v>744</v>
      </c>
      <c r="C621" t="s">
        <v>2865</v>
      </c>
      <c r="D621" t="s">
        <v>2780</v>
      </c>
      <c r="E621" t="s">
        <v>2781</v>
      </c>
      <c r="F621" t="str">
        <f>"168/329"</f>
        <v>168/329</v>
      </c>
      <c r="G621" t="s">
        <v>175</v>
      </c>
      <c r="H621" t="s">
        <v>745</v>
      </c>
      <c r="I621">
        <v>31.64</v>
      </c>
    </row>
    <row r="622" spans="1:9" ht="12.75">
      <c r="A622">
        <v>617</v>
      </c>
      <c r="B622" t="s">
        <v>746</v>
      </c>
      <c r="C622" t="s">
        <v>3087</v>
      </c>
      <c r="D622" t="s">
        <v>2780</v>
      </c>
      <c r="E622" t="s">
        <v>2781</v>
      </c>
      <c r="F622" t="str">
        <f>"169/329"</f>
        <v>169/329</v>
      </c>
      <c r="G622" t="s">
        <v>446</v>
      </c>
      <c r="H622" t="s">
        <v>747</v>
      </c>
      <c r="I622">
        <v>31.64</v>
      </c>
    </row>
    <row r="623" spans="1:9" ht="12.75">
      <c r="A623">
        <v>618</v>
      </c>
      <c r="B623" t="s">
        <v>748</v>
      </c>
      <c r="C623" t="s">
        <v>749</v>
      </c>
      <c r="D623" t="s">
        <v>3031</v>
      </c>
      <c r="E623" t="s">
        <v>3244</v>
      </c>
      <c r="F623" t="str">
        <f>"9/63"</f>
        <v>9/63</v>
      </c>
      <c r="G623" t="s">
        <v>3152</v>
      </c>
      <c r="H623" t="s">
        <v>750</v>
      </c>
      <c r="I623">
        <v>31.63</v>
      </c>
    </row>
    <row r="624" spans="1:9" ht="12.75">
      <c r="A624">
        <v>619</v>
      </c>
      <c r="B624" t="s">
        <v>3216</v>
      </c>
      <c r="C624" t="s">
        <v>3346</v>
      </c>
      <c r="D624" t="s">
        <v>2780</v>
      </c>
      <c r="E624" t="s">
        <v>2823</v>
      </c>
      <c r="F624" t="str">
        <f>"211/504"</f>
        <v>211/504</v>
      </c>
      <c r="G624" t="s">
        <v>3217</v>
      </c>
      <c r="H624" t="s">
        <v>751</v>
      </c>
      <c r="I624">
        <v>31.63</v>
      </c>
    </row>
    <row r="625" spans="1:9" ht="12.75">
      <c r="A625">
        <v>620</v>
      </c>
      <c r="B625" t="s">
        <v>752</v>
      </c>
      <c r="C625" t="s">
        <v>470</v>
      </c>
      <c r="D625" t="s">
        <v>2780</v>
      </c>
      <c r="E625" t="s">
        <v>2818</v>
      </c>
      <c r="F625" t="str">
        <f>"92/307"</f>
        <v>92/307</v>
      </c>
      <c r="G625" t="s">
        <v>2889</v>
      </c>
      <c r="H625" t="s">
        <v>753</v>
      </c>
      <c r="I625">
        <v>31.63</v>
      </c>
    </row>
    <row r="626" spans="1:9" ht="12.75">
      <c r="A626">
        <v>621</v>
      </c>
      <c r="B626" t="s">
        <v>754</v>
      </c>
      <c r="C626" t="s">
        <v>755</v>
      </c>
      <c r="D626" t="s">
        <v>2780</v>
      </c>
      <c r="E626" t="s">
        <v>2799</v>
      </c>
      <c r="F626" t="str">
        <f>"52/99"</f>
        <v>52/99</v>
      </c>
      <c r="G626" t="s">
        <v>3492</v>
      </c>
      <c r="H626" t="s">
        <v>756</v>
      </c>
      <c r="I626">
        <v>31.63</v>
      </c>
    </row>
    <row r="627" spans="1:9" ht="12.75">
      <c r="A627">
        <v>622</v>
      </c>
      <c r="B627" t="s">
        <v>757</v>
      </c>
      <c r="C627" t="s">
        <v>2836</v>
      </c>
      <c r="D627" t="s">
        <v>2780</v>
      </c>
      <c r="E627" t="s">
        <v>2823</v>
      </c>
      <c r="F627" t="str">
        <f>"212/504"</f>
        <v>212/504</v>
      </c>
      <c r="G627" t="s">
        <v>758</v>
      </c>
      <c r="H627" t="s">
        <v>759</v>
      </c>
      <c r="I627">
        <v>31.62</v>
      </c>
    </row>
    <row r="628" spans="1:9" ht="12.75">
      <c r="A628">
        <v>623</v>
      </c>
      <c r="B628" t="s">
        <v>760</v>
      </c>
      <c r="C628" t="s">
        <v>3141</v>
      </c>
      <c r="D628" t="s">
        <v>2780</v>
      </c>
      <c r="E628" t="s">
        <v>2823</v>
      </c>
      <c r="F628" t="str">
        <f>"213/504"</f>
        <v>213/504</v>
      </c>
      <c r="G628" t="s">
        <v>2804</v>
      </c>
      <c r="H628" t="s">
        <v>759</v>
      </c>
      <c r="I628">
        <v>31.62</v>
      </c>
    </row>
    <row r="629" spans="1:9" ht="12.75">
      <c r="A629">
        <v>624</v>
      </c>
      <c r="B629" t="s">
        <v>3378</v>
      </c>
      <c r="C629" t="s">
        <v>761</v>
      </c>
      <c r="D629" t="s">
        <v>2780</v>
      </c>
      <c r="E629" t="s">
        <v>2781</v>
      </c>
      <c r="F629" t="str">
        <f>"170/329"</f>
        <v>170/329</v>
      </c>
      <c r="G629" t="s">
        <v>2804</v>
      </c>
      <c r="H629" t="s">
        <v>762</v>
      </c>
      <c r="I629">
        <v>31.62</v>
      </c>
    </row>
    <row r="630" spans="1:9" ht="12.75">
      <c r="A630">
        <v>625</v>
      </c>
      <c r="B630" t="s">
        <v>763</v>
      </c>
      <c r="C630" t="s">
        <v>2865</v>
      </c>
      <c r="D630" t="s">
        <v>2780</v>
      </c>
      <c r="E630" t="s">
        <v>2781</v>
      </c>
      <c r="F630" t="str">
        <f>"171/329"</f>
        <v>171/329</v>
      </c>
      <c r="G630" t="s">
        <v>2804</v>
      </c>
      <c r="H630" t="s">
        <v>764</v>
      </c>
      <c r="I630">
        <v>31.62</v>
      </c>
    </row>
    <row r="631" spans="1:9" ht="12.75">
      <c r="A631">
        <v>626</v>
      </c>
      <c r="B631" t="s">
        <v>765</v>
      </c>
      <c r="C631" t="s">
        <v>2857</v>
      </c>
      <c r="D631" t="s">
        <v>2780</v>
      </c>
      <c r="E631" t="s">
        <v>2818</v>
      </c>
      <c r="F631" t="str">
        <f>"93/307"</f>
        <v>93/307</v>
      </c>
      <c r="G631" t="s">
        <v>2800</v>
      </c>
      <c r="H631" t="s">
        <v>766</v>
      </c>
      <c r="I631">
        <v>31.62</v>
      </c>
    </row>
    <row r="632" spans="1:9" ht="12.75">
      <c r="A632">
        <v>627</v>
      </c>
      <c r="B632" t="s">
        <v>767</v>
      </c>
      <c r="C632" t="s">
        <v>2857</v>
      </c>
      <c r="D632" t="s">
        <v>2780</v>
      </c>
      <c r="E632" t="s">
        <v>2823</v>
      </c>
      <c r="F632" t="str">
        <f>"214/504"</f>
        <v>214/504</v>
      </c>
      <c r="G632" t="s">
        <v>209</v>
      </c>
      <c r="H632" t="s">
        <v>768</v>
      </c>
      <c r="I632">
        <v>31.62</v>
      </c>
    </row>
    <row r="633" spans="1:9" ht="12.75">
      <c r="A633">
        <v>628</v>
      </c>
      <c r="B633" t="s">
        <v>360</v>
      </c>
      <c r="C633" t="s">
        <v>3438</v>
      </c>
      <c r="D633" t="s">
        <v>2780</v>
      </c>
      <c r="E633" t="s">
        <v>2781</v>
      </c>
      <c r="F633" t="str">
        <f>"172/329"</f>
        <v>172/329</v>
      </c>
      <c r="G633" t="s">
        <v>3168</v>
      </c>
      <c r="H633" t="s">
        <v>769</v>
      </c>
      <c r="I633">
        <v>31.61</v>
      </c>
    </row>
    <row r="634" spans="1:9" ht="12.75">
      <c r="A634">
        <v>629</v>
      </c>
      <c r="B634" t="s">
        <v>770</v>
      </c>
      <c r="C634" t="s">
        <v>488</v>
      </c>
      <c r="D634" t="s">
        <v>3031</v>
      </c>
      <c r="E634" t="s">
        <v>3032</v>
      </c>
      <c r="F634" t="str">
        <f>"14/54"</f>
        <v>14/54</v>
      </c>
      <c r="G634" t="s">
        <v>3168</v>
      </c>
      <c r="H634" t="s">
        <v>771</v>
      </c>
      <c r="I634">
        <v>31.61</v>
      </c>
    </row>
    <row r="635" spans="1:9" ht="12.75">
      <c r="A635">
        <v>630</v>
      </c>
      <c r="B635" t="s">
        <v>772</v>
      </c>
      <c r="C635" t="s">
        <v>3387</v>
      </c>
      <c r="D635" t="s">
        <v>2780</v>
      </c>
      <c r="E635" t="s">
        <v>2781</v>
      </c>
      <c r="F635" t="str">
        <f>"173/329"</f>
        <v>173/329</v>
      </c>
      <c r="G635" t="s">
        <v>3289</v>
      </c>
      <c r="H635" t="s">
        <v>773</v>
      </c>
      <c r="I635">
        <v>31.58</v>
      </c>
    </row>
    <row r="636" spans="1:9" ht="12.75">
      <c r="A636">
        <v>631</v>
      </c>
      <c r="B636" t="s">
        <v>410</v>
      </c>
      <c r="C636" t="s">
        <v>2865</v>
      </c>
      <c r="D636" t="s">
        <v>2780</v>
      </c>
      <c r="E636" t="s">
        <v>2823</v>
      </c>
      <c r="F636" t="str">
        <f>"215/504"</f>
        <v>215/504</v>
      </c>
      <c r="G636" t="s">
        <v>758</v>
      </c>
      <c r="H636" t="s">
        <v>774</v>
      </c>
      <c r="I636">
        <v>31.56</v>
      </c>
    </row>
    <row r="637" spans="1:9" ht="12.75">
      <c r="A637">
        <v>632</v>
      </c>
      <c r="B637" t="s">
        <v>775</v>
      </c>
      <c r="C637" t="s">
        <v>3114</v>
      </c>
      <c r="D637" t="s">
        <v>2780</v>
      </c>
      <c r="E637" t="s">
        <v>2781</v>
      </c>
      <c r="F637" t="str">
        <f>"174/329"</f>
        <v>174/329</v>
      </c>
      <c r="G637" t="s">
        <v>776</v>
      </c>
      <c r="H637" t="s">
        <v>777</v>
      </c>
      <c r="I637">
        <v>31.56</v>
      </c>
    </row>
    <row r="638" spans="1:9" ht="12.75">
      <c r="A638">
        <v>633</v>
      </c>
      <c r="B638" t="s">
        <v>778</v>
      </c>
      <c r="C638" t="s">
        <v>3286</v>
      </c>
      <c r="D638" t="s">
        <v>2780</v>
      </c>
      <c r="E638" t="s">
        <v>2973</v>
      </c>
      <c r="F638" t="str">
        <f>"29/167"</f>
        <v>29/167</v>
      </c>
      <c r="G638" t="s">
        <v>3011</v>
      </c>
      <c r="H638" t="s">
        <v>779</v>
      </c>
      <c r="I638">
        <v>31.55</v>
      </c>
    </row>
    <row r="639" spans="1:9" ht="12.75">
      <c r="A639">
        <v>634</v>
      </c>
      <c r="B639" t="s">
        <v>780</v>
      </c>
      <c r="C639" t="s">
        <v>43</v>
      </c>
      <c r="D639" t="s">
        <v>2780</v>
      </c>
      <c r="E639" t="s">
        <v>2818</v>
      </c>
      <c r="F639" t="str">
        <f>"94/307"</f>
        <v>94/307</v>
      </c>
      <c r="G639" t="s">
        <v>3640</v>
      </c>
      <c r="H639" t="s">
        <v>781</v>
      </c>
      <c r="I639">
        <v>31.55</v>
      </c>
    </row>
    <row r="640" spans="1:9" ht="12.75">
      <c r="A640">
        <v>635</v>
      </c>
      <c r="B640" t="s">
        <v>782</v>
      </c>
      <c r="C640" t="s">
        <v>2807</v>
      </c>
      <c r="D640" t="s">
        <v>2780</v>
      </c>
      <c r="E640" t="s">
        <v>2823</v>
      </c>
      <c r="F640" t="str">
        <f>"216/504"</f>
        <v>216/504</v>
      </c>
      <c r="G640" t="s">
        <v>783</v>
      </c>
      <c r="H640" t="s">
        <v>784</v>
      </c>
      <c r="I640">
        <v>31.55</v>
      </c>
    </row>
    <row r="641" spans="1:9" ht="12.75">
      <c r="A641">
        <v>636</v>
      </c>
      <c r="B641" t="s">
        <v>474</v>
      </c>
      <c r="C641" t="s">
        <v>2963</v>
      </c>
      <c r="D641" t="s">
        <v>2780</v>
      </c>
      <c r="E641" t="s">
        <v>2818</v>
      </c>
      <c r="F641" t="str">
        <f>"95/307"</f>
        <v>95/307</v>
      </c>
      <c r="G641" t="s">
        <v>475</v>
      </c>
      <c r="H641" t="s">
        <v>785</v>
      </c>
      <c r="I641">
        <v>31.54</v>
      </c>
    </row>
    <row r="642" spans="1:9" ht="12.75">
      <c r="A642">
        <v>637</v>
      </c>
      <c r="B642" t="s">
        <v>786</v>
      </c>
      <c r="C642" t="s">
        <v>3475</v>
      </c>
      <c r="D642" t="s">
        <v>2780</v>
      </c>
      <c r="E642" t="s">
        <v>2823</v>
      </c>
      <c r="F642" t="str">
        <f>"217/504"</f>
        <v>217/504</v>
      </c>
      <c r="G642" t="s">
        <v>118</v>
      </c>
      <c r="H642" t="s">
        <v>787</v>
      </c>
      <c r="I642">
        <v>31.53</v>
      </c>
    </row>
    <row r="643" spans="1:9" ht="12.75">
      <c r="A643">
        <v>638</v>
      </c>
      <c r="B643" t="s">
        <v>788</v>
      </c>
      <c r="C643" t="s">
        <v>43</v>
      </c>
      <c r="D643" t="s">
        <v>2780</v>
      </c>
      <c r="E643" t="s">
        <v>2973</v>
      </c>
      <c r="F643" t="str">
        <f>"30/167"</f>
        <v>30/167</v>
      </c>
      <c r="G643" t="s">
        <v>2791</v>
      </c>
      <c r="H643" t="s">
        <v>789</v>
      </c>
      <c r="I643">
        <v>31.53</v>
      </c>
    </row>
    <row r="644" spans="1:9" ht="12.75">
      <c r="A644">
        <v>639</v>
      </c>
      <c r="B644" t="s">
        <v>790</v>
      </c>
      <c r="C644" t="s">
        <v>2895</v>
      </c>
      <c r="D644" t="s">
        <v>2780</v>
      </c>
      <c r="E644" t="s">
        <v>2781</v>
      </c>
      <c r="F644" t="str">
        <f>"175/329"</f>
        <v>175/329</v>
      </c>
      <c r="G644" t="s">
        <v>776</v>
      </c>
      <c r="H644" t="s">
        <v>791</v>
      </c>
      <c r="I644">
        <v>31.51</v>
      </c>
    </row>
    <row r="645" spans="1:9" ht="12.75">
      <c r="A645">
        <v>640</v>
      </c>
      <c r="B645" t="s">
        <v>792</v>
      </c>
      <c r="C645" t="s">
        <v>793</v>
      </c>
      <c r="D645" t="s">
        <v>2780</v>
      </c>
      <c r="E645" t="s">
        <v>2781</v>
      </c>
      <c r="F645" t="str">
        <f>"176/329"</f>
        <v>176/329</v>
      </c>
      <c r="G645" t="s">
        <v>3492</v>
      </c>
      <c r="H645" t="s">
        <v>794</v>
      </c>
      <c r="I645">
        <v>31.51</v>
      </c>
    </row>
    <row r="646" spans="1:9" ht="12.75">
      <c r="A646">
        <v>641</v>
      </c>
      <c r="B646" t="s">
        <v>3007</v>
      </c>
      <c r="C646" t="s">
        <v>2956</v>
      </c>
      <c r="D646" t="s">
        <v>2780</v>
      </c>
      <c r="E646" t="s">
        <v>2818</v>
      </c>
      <c r="F646" t="str">
        <f>"96/307"</f>
        <v>96/307</v>
      </c>
      <c r="G646" t="s">
        <v>795</v>
      </c>
      <c r="H646" t="s">
        <v>796</v>
      </c>
      <c r="I646">
        <v>31.5</v>
      </c>
    </row>
    <row r="647" spans="1:9" ht="12.75">
      <c r="A647">
        <v>642</v>
      </c>
      <c r="B647" t="s">
        <v>797</v>
      </c>
      <c r="C647" t="s">
        <v>3008</v>
      </c>
      <c r="D647" t="s">
        <v>2780</v>
      </c>
      <c r="E647" t="s">
        <v>2823</v>
      </c>
      <c r="F647" t="str">
        <f>"218/504"</f>
        <v>218/504</v>
      </c>
      <c r="G647" t="s">
        <v>795</v>
      </c>
      <c r="H647" t="s">
        <v>798</v>
      </c>
      <c r="I647">
        <v>31.5</v>
      </c>
    </row>
    <row r="648" spans="1:9" ht="12.75">
      <c r="A648">
        <v>643</v>
      </c>
      <c r="B648" t="s">
        <v>629</v>
      </c>
      <c r="C648" t="s">
        <v>3625</v>
      </c>
      <c r="D648" t="s">
        <v>2780</v>
      </c>
      <c r="E648" t="s">
        <v>2823</v>
      </c>
      <c r="F648" t="str">
        <f>"219/504"</f>
        <v>219/504</v>
      </c>
      <c r="G648" t="s">
        <v>799</v>
      </c>
      <c r="H648" t="s">
        <v>800</v>
      </c>
      <c r="I648">
        <v>31.5</v>
      </c>
    </row>
    <row r="649" spans="1:9" ht="12.75">
      <c r="A649">
        <v>644</v>
      </c>
      <c r="B649" t="s">
        <v>801</v>
      </c>
      <c r="C649" t="s">
        <v>3346</v>
      </c>
      <c r="D649" t="s">
        <v>2780</v>
      </c>
      <c r="E649" t="s">
        <v>2823</v>
      </c>
      <c r="F649" t="str">
        <f>"220/504"</f>
        <v>220/504</v>
      </c>
      <c r="G649" t="s">
        <v>416</v>
      </c>
      <c r="H649" t="s">
        <v>802</v>
      </c>
      <c r="I649">
        <v>31.5</v>
      </c>
    </row>
    <row r="650" spans="1:9" ht="12.75">
      <c r="A650">
        <v>645</v>
      </c>
      <c r="B650" t="s">
        <v>803</v>
      </c>
      <c r="C650" t="s">
        <v>2895</v>
      </c>
      <c r="D650" t="s">
        <v>2780</v>
      </c>
      <c r="E650" t="s">
        <v>2781</v>
      </c>
      <c r="F650" t="str">
        <f>"177/329"</f>
        <v>177/329</v>
      </c>
      <c r="G650" t="s">
        <v>49</v>
      </c>
      <c r="H650" t="s">
        <v>804</v>
      </c>
      <c r="I650">
        <v>31.5</v>
      </c>
    </row>
    <row r="651" spans="1:9" ht="12.75">
      <c r="A651">
        <v>646</v>
      </c>
      <c r="B651" t="s">
        <v>805</v>
      </c>
      <c r="C651" t="s">
        <v>3008</v>
      </c>
      <c r="D651" t="s">
        <v>2780</v>
      </c>
      <c r="E651" t="s">
        <v>2823</v>
      </c>
      <c r="F651" t="str">
        <f>"221/504"</f>
        <v>221/504</v>
      </c>
      <c r="G651" t="s">
        <v>806</v>
      </c>
      <c r="H651" t="s">
        <v>807</v>
      </c>
      <c r="I651">
        <v>31.49</v>
      </c>
    </row>
    <row r="652" spans="1:9" ht="12.75">
      <c r="A652">
        <v>647</v>
      </c>
      <c r="B652" t="s">
        <v>808</v>
      </c>
      <c r="C652" t="s">
        <v>809</v>
      </c>
      <c r="D652" t="s">
        <v>2780</v>
      </c>
      <c r="E652" t="s">
        <v>2818</v>
      </c>
      <c r="F652" t="str">
        <f>"97/307"</f>
        <v>97/307</v>
      </c>
      <c r="G652" t="s">
        <v>3357</v>
      </c>
      <c r="H652" t="s">
        <v>810</v>
      </c>
      <c r="I652">
        <v>31.49</v>
      </c>
    </row>
    <row r="653" spans="1:9" ht="12.75">
      <c r="A653">
        <v>648</v>
      </c>
      <c r="B653" t="s">
        <v>811</v>
      </c>
      <c r="C653" t="s">
        <v>2836</v>
      </c>
      <c r="D653" t="s">
        <v>2780</v>
      </c>
      <c r="E653" t="s">
        <v>2823</v>
      </c>
      <c r="F653" t="str">
        <f>"222/504"</f>
        <v>222/504</v>
      </c>
      <c r="G653" t="s">
        <v>3277</v>
      </c>
      <c r="H653" t="s">
        <v>812</v>
      </c>
      <c r="I653">
        <v>31.48</v>
      </c>
    </row>
    <row r="654" spans="1:9" ht="12.75">
      <c r="A654">
        <v>649</v>
      </c>
      <c r="B654" t="s">
        <v>813</v>
      </c>
      <c r="C654" t="s">
        <v>814</v>
      </c>
      <c r="D654" t="s">
        <v>2780</v>
      </c>
      <c r="E654" t="s">
        <v>2818</v>
      </c>
      <c r="F654" t="str">
        <f>"98/307"</f>
        <v>98/307</v>
      </c>
      <c r="G654" t="s">
        <v>815</v>
      </c>
      <c r="H654" t="s">
        <v>816</v>
      </c>
      <c r="I654">
        <v>31.47</v>
      </c>
    </row>
    <row r="655" spans="1:9" ht="12.75">
      <c r="A655">
        <v>650</v>
      </c>
      <c r="B655" t="s">
        <v>817</v>
      </c>
      <c r="C655" t="s">
        <v>3445</v>
      </c>
      <c r="D655" t="s">
        <v>2780</v>
      </c>
      <c r="E655" t="s">
        <v>2823</v>
      </c>
      <c r="F655" t="str">
        <f>"223/504"</f>
        <v>223/504</v>
      </c>
      <c r="G655" t="s">
        <v>806</v>
      </c>
      <c r="H655" t="s">
        <v>818</v>
      </c>
      <c r="I655">
        <v>31.46</v>
      </c>
    </row>
    <row r="656" spans="1:9" ht="12.75">
      <c r="A656">
        <v>651</v>
      </c>
      <c r="B656" t="s">
        <v>819</v>
      </c>
      <c r="C656" t="s">
        <v>696</v>
      </c>
      <c r="D656" t="s">
        <v>2780</v>
      </c>
      <c r="E656" t="s">
        <v>2818</v>
      </c>
      <c r="F656" t="str">
        <f>"99/307"</f>
        <v>99/307</v>
      </c>
      <c r="G656" t="s">
        <v>446</v>
      </c>
      <c r="H656" t="s">
        <v>820</v>
      </c>
      <c r="I656">
        <v>31.46</v>
      </c>
    </row>
    <row r="657" spans="1:9" ht="12.75">
      <c r="A657">
        <v>652</v>
      </c>
      <c r="B657" t="s">
        <v>821</v>
      </c>
      <c r="C657" t="s">
        <v>191</v>
      </c>
      <c r="D657" t="s">
        <v>2780</v>
      </c>
      <c r="E657" t="s">
        <v>2823</v>
      </c>
      <c r="F657" t="str">
        <f>"224/504"</f>
        <v>224/504</v>
      </c>
      <c r="G657" t="s">
        <v>799</v>
      </c>
      <c r="H657" t="s">
        <v>822</v>
      </c>
      <c r="I657">
        <v>31.45</v>
      </c>
    </row>
    <row r="658" spans="1:9" ht="12.75">
      <c r="A658">
        <v>653</v>
      </c>
      <c r="B658" t="s">
        <v>823</v>
      </c>
      <c r="C658" t="s">
        <v>3633</v>
      </c>
      <c r="D658" t="s">
        <v>2780</v>
      </c>
      <c r="E658" t="s">
        <v>2823</v>
      </c>
      <c r="F658" t="str">
        <f>"225/504"</f>
        <v>225/504</v>
      </c>
      <c r="G658" t="s">
        <v>3468</v>
      </c>
      <c r="H658" t="s">
        <v>824</v>
      </c>
      <c r="I658">
        <v>31.44</v>
      </c>
    </row>
    <row r="659" spans="1:9" ht="12.75">
      <c r="A659">
        <v>654</v>
      </c>
      <c r="B659" t="s">
        <v>825</v>
      </c>
      <c r="C659" t="s">
        <v>2857</v>
      </c>
      <c r="D659" t="s">
        <v>2780</v>
      </c>
      <c r="E659" t="s">
        <v>2781</v>
      </c>
      <c r="F659" t="str">
        <f>"178/329"</f>
        <v>178/329</v>
      </c>
      <c r="G659" t="s">
        <v>826</v>
      </c>
      <c r="H659" t="s">
        <v>827</v>
      </c>
      <c r="I659">
        <v>31.42</v>
      </c>
    </row>
    <row r="660" spans="1:9" ht="12.75">
      <c r="A660">
        <v>655</v>
      </c>
      <c r="B660" t="s">
        <v>828</v>
      </c>
      <c r="C660" t="s">
        <v>2840</v>
      </c>
      <c r="D660" t="s">
        <v>2780</v>
      </c>
      <c r="E660" t="s">
        <v>2818</v>
      </c>
      <c r="F660" t="str">
        <f>"100/307"</f>
        <v>100/307</v>
      </c>
      <c r="G660" t="s">
        <v>2889</v>
      </c>
      <c r="H660" t="s">
        <v>829</v>
      </c>
      <c r="I660">
        <v>31.42</v>
      </c>
    </row>
    <row r="661" spans="1:9" ht="12.75">
      <c r="A661">
        <v>656</v>
      </c>
      <c r="B661" t="s">
        <v>579</v>
      </c>
      <c r="C661" t="s">
        <v>3346</v>
      </c>
      <c r="D661" t="s">
        <v>2780</v>
      </c>
      <c r="E661" t="s">
        <v>2823</v>
      </c>
      <c r="F661" t="str">
        <f>"226/504"</f>
        <v>226/504</v>
      </c>
      <c r="G661" t="s">
        <v>3206</v>
      </c>
      <c r="H661" t="s">
        <v>830</v>
      </c>
      <c r="I661">
        <v>31.42</v>
      </c>
    </row>
    <row r="662" spans="1:9" ht="12.75">
      <c r="A662">
        <v>657</v>
      </c>
      <c r="B662" t="s">
        <v>831</v>
      </c>
      <c r="C662" t="s">
        <v>832</v>
      </c>
      <c r="D662" t="s">
        <v>2780</v>
      </c>
      <c r="E662" t="s">
        <v>2823</v>
      </c>
      <c r="F662" t="str">
        <f>"227/504"</f>
        <v>227/504</v>
      </c>
      <c r="G662" t="s">
        <v>3277</v>
      </c>
      <c r="H662" t="s">
        <v>833</v>
      </c>
      <c r="I662">
        <v>31.41</v>
      </c>
    </row>
    <row r="663" spans="1:9" ht="12.75">
      <c r="A663">
        <v>658</v>
      </c>
      <c r="B663" t="s">
        <v>834</v>
      </c>
      <c r="C663" t="s">
        <v>2895</v>
      </c>
      <c r="D663" t="s">
        <v>2780</v>
      </c>
      <c r="E663" t="s">
        <v>2823</v>
      </c>
      <c r="F663" t="str">
        <f>"228/504"</f>
        <v>228/504</v>
      </c>
      <c r="G663" t="s">
        <v>2920</v>
      </c>
      <c r="H663" t="s">
        <v>835</v>
      </c>
      <c r="I663">
        <v>31.41</v>
      </c>
    </row>
    <row r="664" spans="1:9" ht="12.75">
      <c r="A664">
        <v>659</v>
      </c>
      <c r="B664" t="s">
        <v>836</v>
      </c>
      <c r="C664" t="s">
        <v>3057</v>
      </c>
      <c r="D664" t="s">
        <v>2780</v>
      </c>
      <c r="E664" t="s">
        <v>2823</v>
      </c>
      <c r="F664" t="str">
        <f>"229/504"</f>
        <v>229/504</v>
      </c>
      <c r="G664" t="s">
        <v>420</v>
      </c>
      <c r="H664" t="s">
        <v>837</v>
      </c>
      <c r="I664">
        <v>31.4</v>
      </c>
    </row>
    <row r="665" spans="1:9" ht="12.75">
      <c r="A665">
        <v>660</v>
      </c>
      <c r="B665" t="s">
        <v>838</v>
      </c>
      <c r="C665" t="s">
        <v>839</v>
      </c>
      <c r="D665" t="s">
        <v>2780</v>
      </c>
      <c r="E665" t="s">
        <v>2973</v>
      </c>
      <c r="F665" t="str">
        <f>"31/167"</f>
        <v>31/167</v>
      </c>
      <c r="G665" t="s">
        <v>261</v>
      </c>
      <c r="H665" t="s">
        <v>840</v>
      </c>
      <c r="I665">
        <v>31.39</v>
      </c>
    </row>
    <row r="666" spans="1:9" ht="12.75">
      <c r="A666">
        <v>661</v>
      </c>
      <c r="B666" t="s">
        <v>841</v>
      </c>
      <c r="C666" t="s">
        <v>842</v>
      </c>
      <c r="D666" t="s">
        <v>2780</v>
      </c>
      <c r="E666" t="s">
        <v>2823</v>
      </c>
      <c r="F666" t="str">
        <f>"230/504"</f>
        <v>230/504</v>
      </c>
      <c r="G666" t="s">
        <v>843</v>
      </c>
      <c r="H666" t="s">
        <v>844</v>
      </c>
      <c r="I666">
        <v>31.38</v>
      </c>
    </row>
    <row r="667" spans="1:9" ht="12.75">
      <c r="A667">
        <v>662</v>
      </c>
      <c r="B667" t="s">
        <v>845</v>
      </c>
      <c r="C667" t="s">
        <v>3164</v>
      </c>
      <c r="D667" t="s">
        <v>2780</v>
      </c>
      <c r="E667" t="s">
        <v>2781</v>
      </c>
      <c r="F667" t="str">
        <f>"179/329"</f>
        <v>179/329</v>
      </c>
      <c r="G667" t="s">
        <v>846</v>
      </c>
      <c r="H667" t="s">
        <v>847</v>
      </c>
      <c r="I667">
        <v>31.37</v>
      </c>
    </row>
    <row r="668" spans="1:9" ht="12.75">
      <c r="A668">
        <v>663</v>
      </c>
      <c r="B668" t="s">
        <v>848</v>
      </c>
      <c r="C668" t="s">
        <v>3205</v>
      </c>
      <c r="D668" t="s">
        <v>2780</v>
      </c>
      <c r="E668" t="s">
        <v>2823</v>
      </c>
      <c r="F668" t="str">
        <f>"231/504"</f>
        <v>231/504</v>
      </c>
      <c r="G668" t="s">
        <v>2844</v>
      </c>
      <c r="H668" t="s">
        <v>849</v>
      </c>
      <c r="I668">
        <v>31.37</v>
      </c>
    </row>
    <row r="669" spans="1:9" ht="12.75">
      <c r="A669">
        <v>664</v>
      </c>
      <c r="B669" t="s">
        <v>850</v>
      </c>
      <c r="C669" t="s">
        <v>3087</v>
      </c>
      <c r="D669" t="s">
        <v>2780</v>
      </c>
      <c r="E669" t="s">
        <v>2823</v>
      </c>
      <c r="F669" t="str">
        <f>"232/504"</f>
        <v>232/504</v>
      </c>
      <c r="G669" t="s">
        <v>851</v>
      </c>
      <c r="H669" t="s">
        <v>852</v>
      </c>
      <c r="I669">
        <v>31.36</v>
      </c>
    </row>
    <row r="670" spans="1:9" ht="12.75">
      <c r="A670">
        <v>665</v>
      </c>
      <c r="B670" t="s">
        <v>3359</v>
      </c>
      <c r="C670" t="s">
        <v>2814</v>
      </c>
      <c r="D670" t="s">
        <v>2780</v>
      </c>
      <c r="E670" t="s">
        <v>2781</v>
      </c>
      <c r="F670" t="str">
        <f>"180/329"</f>
        <v>180/329</v>
      </c>
      <c r="G670" t="s">
        <v>3360</v>
      </c>
      <c r="H670" t="s">
        <v>853</v>
      </c>
      <c r="I670">
        <v>31.32</v>
      </c>
    </row>
    <row r="671" spans="1:9" ht="12.75">
      <c r="A671">
        <v>666</v>
      </c>
      <c r="B671" t="s">
        <v>854</v>
      </c>
      <c r="C671" t="s">
        <v>2981</v>
      </c>
      <c r="D671" t="s">
        <v>2780</v>
      </c>
      <c r="E671" t="s">
        <v>2818</v>
      </c>
      <c r="F671" t="str">
        <f>"101/307"</f>
        <v>101/307</v>
      </c>
      <c r="G671" t="s">
        <v>855</v>
      </c>
      <c r="H671" t="s">
        <v>856</v>
      </c>
      <c r="I671">
        <v>31.31</v>
      </c>
    </row>
    <row r="672" spans="1:9" ht="12.75">
      <c r="A672">
        <v>667</v>
      </c>
      <c r="B672" t="s">
        <v>857</v>
      </c>
      <c r="C672" t="s">
        <v>2942</v>
      </c>
      <c r="D672" t="s">
        <v>2780</v>
      </c>
      <c r="E672" t="s">
        <v>2973</v>
      </c>
      <c r="F672" t="str">
        <f>"32/167"</f>
        <v>32/167</v>
      </c>
      <c r="G672" t="s">
        <v>858</v>
      </c>
      <c r="H672" t="s">
        <v>859</v>
      </c>
      <c r="I672">
        <v>31.31</v>
      </c>
    </row>
    <row r="673" spans="1:9" ht="12.75">
      <c r="A673">
        <v>668</v>
      </c>
      <c r="B673" t="s">
        <v>860</v>
      </c>
      <c r="C673" t="s">
        <v>3141</v>
      </c>
      <c r="D673" t="s">
        <v>2780</v>
      </c>
      <c r="E673" t="s">
        <v>3209</v>
      </c>
      <c r="F673" t="str">
        <f>"4/62"</f>
        <v>4/62</v>
      </c>
      <c r="G673" t="s">
        <v>861</v>
      </c>
      <c r="H673" t="s">
        <v>862</v>
      </c>
      <c r="I673">
        <v>31.3</v>
      </c>
    </row>
    <row r="674" spans="1:9" ht="12.75">
      <c r="A674">
        <v>669</v>
      </c>
      <c r="B674" t="s">
        <v>704</v>
      </c>
      <c r="C674" t="s">
        <v>863</v>
      </c>
      <c r="D674" t="s">
        <v>2780</v>
      </c>
      <c r="E674" t="s">
        <v>2973</v>
      </c>
      <c r="F674" t="str">
        <f>"33/167"</f>
        <v>33/167</v>
      </c>
      <c r="G674" t="s">
        <v>864</v>
      </c>
      <c r="H674" t="s">
        <v>865</v>
      </c>
      <c r="I674">
        <v>31.3</v>
      </c>
    </row>
    <row r="675" spans="1:9" ht="12.75">
      <c r="A675">
        <v>670</v>
      </c>
      <c r="B675" t="s">
        <v>866</v>
      </c>
      <c r="C675" t="s">
        <v>3239</v>
      </c>
      <c r="D675" t="s">
        <v>3031</v>
      </c>
      <c r="E675" t="s">
        <v>3032</v>
      </c>
      <c r="F675" t="str">
        <f>"15/54"</f>
        <v>15/54</v>
      </c>
      <c r="G675" t="s">
        <v>2804</v>
      </c>
      <c r="H675" t="s">
        <v>867</v>
      </c>
      <c r="I675">
        <v>31.3</v>
      </c>
    </row>
    <row r="676" spans="1:9" ht="12.75">
      <c r="A676">
        <v>671</v>
      </c>
      <c r="B676" t="s">
        <v>3378</v>
      </c>
      <c r="C676" t="s">
        <v>868</v>
      </c>
      <c r="D676" t="s">
        <v>2780</v>
      </c>
      <c r="E676" t="s">
        <v>2823</v>
      </c>
      <c r="F676" t="str">
        <f>"233/504"</f>
        <v>233/504</v>
      </c>
      <c r="G676" t="s">
        <v>869</v>
      </c>
      <c r="H676" t="s">
        <v>870</v>
      </c>
      <c r="I676">
        <v>31.3</v>
      </c>
    </row>
    <row r="677" spans="1:9" ht="12.75">
      <c r="A677">
        <v>672</v>
      </c>
      <c r="B677" t="s">
        <v>871</v>
      </c>
      <c r="C677" t="s">
        <v>2857</v>
      </c>
      <c r="D677" t="s">
        <v>2780</v>
      </c>
      <c r="E677" t="s">
        <v>2799</v>
      </c>
      <c r="F677" t="str">
        <f>"53/99"</f>
        <v>53/99</v>
      </c>
      <c r="G677" t="s">
        <v>697</v>
      </c>
      <c r="H677" t="s">
        <v>872</v>
      </c>
      <c r="I677">
        <v>31.3</v>
      </c>
    </row>
    <row r="678" spans="1:9" ht="12.75">
      <c r="A678">
        <v>673</v>
      </c>
      <c r="B678" t="s">
        <v>873</v>
      </c>
      <c r="C678" t="s">
        <v>2810</v>
      </c>
      <c r="D678" t="s">
        <v>2780</v>
      </c>
      <c r="E678" t="s">
        <v>2786</v>
      </c>
      <c r="F678" t="str">
        <f>"40/58"</f>
        <v>40/58</v>
      </c>
      <c r="G678" t="s">
        <v>2892</v>
      </c>
      <c r="H678" t="s">
        <v>874</v>
      </c>
      <c r="I678">
        <v>31.29</v>
      </c>
    </row>
    <row r="679" spans="1:9" ht="12.75">
      <c r="A679">
        <v>674</v>
      </c>
      <c r="B679" t="s">
        <v>875</v>
      </c>
      <c r="C679" t="s">
        <v>3164</v>
      </c>
      <c r="D679" t="s">
        <v>2780</v>
      </c>
      <c r="E679" t="s">
        <v>2823</v>
      </c>
      <c r="F679" t="str">
        <f>"234/504"</f>
        <v>234/504</v>
      </c>
      <c r="G679" t="s">
        <v>661</v>
      </c>
      <c r="H679" t="s">
        <v>876</v>
      </c>
      <c r="I679">
        <v>31.29</v>
      </c>
    </row>
    <row r="680" spans="1:9" ht="12.75">
      <c r="A680">
        <v>675</v>
      </c>
      <c r="B680" t="s">
        <v>877</v>
      </c>
      <c r="C680" t="s">
        <v>2836</v>
      </c>
      <c r="D680" t="s">
        <v>2780</v>
      </c>
      <c r="E680" t="s">
        <v>2823</v>
      </c>
      <c r="F680" t="str">
        <f>"235/504"</f>
        <v>235/504</v>
      </c>
      <c r="G680" t="s">
        <v>446</v>
      </c>
      <c r="H680" t="s">
        <v>878</v>
      </c>
      <c r="I680">
        <v>31.29</v>
      </c>
    </row>
    <row r="681" spans="1:9" ht="12.75">
      <c r="A681">
        <v>676</v>
      </c>
      <c r="B681" t="s">
        <v>879</v>
      </c>
      <c r="C681" t="s">
        <v>880</v>
      </c>
      <c r="D681" t="s">
        <v>2780</v>
      </c>
      <c r="E681" t="s">
        <v>2818</v>
      </c>
      <c r="F681" t="str">
        <f>"102/307"</f>
        <v>102/307</v>
      </c>
      <c r="G681" t="s">
        <v>881</v>
      </c>
      <c r="H681" t="s">
        <v>882</v>
      </c>
      <c r="I681">
        <v>31.28</v>
      </c>
    </row>
    <row r="682" spans="1:9" ht="12.75">
      <c r="A682">
        <v>677</v>
      </c>
      <c r="B682" t="s">
        <v>883</v>
      </c>
      <c r="C682" t="s">
        <v>2857</v>
      </c>
      <c r="D682" t="s">
        <v>2780</v>
      </c>
      <c r="E682" t="s">
        <v>2973</v>
      </c>
      <c r="F682" t="str">
        <f>"34/167"</f>
        <v>34/167</v>
      </c>
      <c r="G682" t="s">
        <v>3181</v>
      </c>
      <c r="H682" t="s">
        <v>884</v>
      </c>
      <c r="I682">
        <v>31.28</v>
      </c>
    </row>
    <row r="683" spans="1:9" ht="12.75">
      <c r="A683">
        <v>678</v>
      </c>
      <c r="B683" t="s">
        <v>885</v>
      </c>
      <c r="C683" t="s">
        <v>2830</v>
      </c>
      <c r="D683" t="s">
        <v>2780</v>
      </c>
      <c r="E683" t="s">
        <v>2823</v>
      </c>
      <c r="F683" t="str">
        <f>"236/504"</f>
        <v>236/504</v>
      </c>
      <c r="G683" t="s">
        <v>881</v>
      </c>
      <c r="H683" t="s">
        <v>886</v>
      </c>
      <c r="I683">
        <v>31.27</v>
      </c>
    </row>
    <row r="684" spans="1:9" ht="12.75">
      <c r="A684">
        <v>679</v>
      </c>
      <c r="B684" t="s">
        <v>887</v>
      </c>
      <c r="C684" t="s">
        <v>3057</v>
      </c>
      <c r="D684" t="s">
        <v>2780</v>
      </c>
      <c r="E684" t="s">
        <v>2818</v>
      </c>
      <c r="F684" t="str">
        <f>"103/307"</f>
        <v>103/307</v>
      </c>
      <c r="G684" t="s">
        <v>888</v>
      </c>
      <c r="H684" t="s">
        <v>889</v>
      </c>
      <c r="I684">
        <v>31.27</v>
      </c>
    </row>
    <row r="685" spans="1:9" ht="12.75">
      <c r="A685">
        <v>680</v>
      </c>
      <c r="B685" t="s">
        <v>890</v>
      </c>
      <c r="C685" t="s">
        <v>891</v>
      </c>
      <c r="D685" t="s">
        <v>2780</v>
      </c>
      <c r="E685" t="s">
        <v>2973</v>
      </c>
      <c r="F685" t="str">
        <f>"35/167"</f>
        <v>35/167</v>
      </c>
      <c r="G685" t="s">
        <v>892</v>
      </c>
      <c r="H685" t="s">
        <v>893</v>
      </c>
      <c r="I685">
        <v>31.27</v>
      </c>
    </row>
    <row r="686" spans="1:9" ht="12.75">
      <c r="A686">
        <v>681</v>
      </c>
      <c r="B686" t="s">
        <v>3156</v>
      </c>
      <c r="C686" t="s">
        <v>504</v>
      </c>
      <c r="D686" t="s">
        <v>2780</v>
      </c>
      <c r="E686" t="s">
        <v>2786</v>
      </c>
      <c r="F686" t="str">
        <f>"41/58"</f>
        <v>41/58</v>
      </c>
      <c r="G686" t="s">
        <v>894</v>
      </c>
      <c r="H686" t="s">
        <v>895</v>
      </c>
      <c r="I686">
        <v>31.26</v>
      </c>
    </row>
    <row r="687" spans="1:9" ht="12.75">
      <c r="A687">
        <v>682</v>
      </c>
      <c r="B687" t="s">
        <v>896</v>
      </c>
      <c r="C687" t="s">
        <v>2902</v>
      </c>
      <c r="D687" t="s">
        <v>2780</v>
      </c>
      <c r="E687" t="s">
        <v>2823</v>
      </c>
      <c r="F687" t="str">
        <f>"237/504"</f>
        <v>237/504</v>
      </c>
      <c r="G687" t="s">
        <v>2787</v>
      </c>
      <c r="H687" t="s">
        <v>897</v>
      </c>
      <c r="I687">
        <v>31.26</v>
      </c>
    </row>
    <row r="688" spans="1:9" ht="12.75">
      <c r="A688">
        <v>683</v>
      </c>
      <c r="B688" t="s">
        <v>898</v>
      </c>
      <c r="C688" t="s">
        <v>2865</v>
      </c>
      <c r="D688" t="s">
        <v>2780</v>
      </c>
      <c r="E688" t="s">
        <v>2823</v>
      </c>
      <c r="F688" t="str">
        <f>"238/504"</f>
        <v>238/504</v>
      </c>
      <c r="G688" t="s">
        <v>59</v>
      </c>
      <c r="H688" t="s">
        <v>899</v>
      </c>
      <c r="I688">
        <v>31.26</v>
      </c>
    </row>
    <row r="689" spans="1:9" ht="12.75">
      <c r="A689">
        <v>684</v>
      </c>
      <c r="B689" t="s">
        <v>900</v>
      </c>
      <c r="C689" t="s">
        <v>2861</v>
      </c>
      <c r="D689" t="s">
        <v>2780</v>
      </c>
      <c r="E689" t="s">
        <v>2823</v>
      </c>
      <c r="F689" t="str">
        <f>"239/504"</f>
        <v>239/504</v>
      </c>
      <c r="G689" t="s">
        <v>2974</v>
      </c>
      <c r="H689" t="s">
        <v>901</v>
      </c>
      <c r="I689">
        <v>31.26</v>
      </c>
    </row>
    <row r="690" spans="1:9" ht="12.75">
      <c r="A690">
        <v>685</v>
      </c>
      <c r="B690" t="s">
        <v>902</v>
      </c>
      <c r="C690" t="s">
        <v>903</v>
      </c>
      <c r="D690" t="s">
        <v>3031</v>
      </c>
      <c r="E690" t="s">
        <v>3032</v>
      </c>
      <c r="F690" t="str">
        <f>"16/54"</f>
        <v>16/54</v>
      </c>
      <c r="G690" t="s">
        <v>3422</v>
      </c>
      <c r="H690" t="s">
        <v>904</v>
      </c>
      <c r="I690">
        <v>31.26</v>
      </c>
    </row>
    <row r="691" spans="1:9" ht="12.75">
      <c r="A691">
        <v>686</v>
      </c>
      <c r="B691" t="s">
        <v>3654</v>
      </c>
      <c r="C691" t="s">
        <v>2966</v>
      </c>
      <c r="D691" t="s">
        <v>2780</v>
      </c>
      <c r="E691" t="s">
        <v>2923</v>
      </c>
      <c r="F691" t="str">
        <f>"5/7"</f>
        <v>5/7</v>
      </c>
      <c r="G691" t="s">
        <v>905</v>
      </c>
      <c r="H691" t="s">
        <v>906</v>
      </c>
      <c r="I691">
        <v>31.25</v>
      </c>
    </row>
    <row r="692" spans="1:9" ht="12.75">
      <c r="A692">
        <v>687</v>
      </c>
      <c r="B692" t="s">
        <v>907</v>
      </c>
      <c r="C692" t="s">
        <v>2779</v>
      </c>
      <c r="D692" t="s">
        <v>2780</v>
      </c>
      <c r="E692" t="s">
        <v>2781</v>
      </c>
      <c r="F692" t="str">
        <f>"181/329"</f>
        <v>181/329</v>
      </c>
      <c r="G692" t="s">
        <v>908</v>
      </c>
      <c r="H692" t="s">
        <v>909</v>
      </c>
      <c r="I692">
        <v>31.25</v>
      </c>
    </row>
    <row r="693" spans="1:9" ht="12.75">
      <c r="A693">
        <v>688</v>
      </c>
      <c r="B693" t="s">
        <v>910</v>
      </c>
      <c r="C693" t="s">
        <v>2963</v>
      </c>
      <c r="D693" t="s">
        <v>2780</v>
      </c>
      <c r="E693" t="s">
        <v>2823</v>
      </c>
      <c r="F693" t="str">
        <f>"240/504"</f>
        <v>240/504</v>
      </c>
      <c r="G693" t="s">
        <v>911</v>
      </c>
      <c r="H693" t="s">
        <v>912</v>
      </c>
      <c r="I693">
        <v>31.25</v>
      </c>
    </row>
    <row r="694" spans="1:9" ht="12.75">
      <c r="A694">
        <v>689</v>
      </c>
      <c r="B694" t="s">
        <v>834</v>
      </c>
      <c r="C694" t="s">
        <v>2810</v>
      </c>
      <c r="D694" t="s">
        <v>2780</v>
      </c>
      <c r="E694" t="s">
        <v>2781</v>
      </c>
      <c r="F694" t="str">
        <f>"182/329"</f>
        <v>182/329</v>
      </c>
      <c r="G694" t="s">
        <v>913</v>
      </c>
      <c r="H694" t="s">
        <v>914</v>
      </c>
      <c r="I694">
        <v>31.25</v>
      </c>
    </row>
    <row r="695" spans="1:9" ht="12.75">
      <c r="A695">
        <v>690</v>
      </c>
      <c r="B695" t="s">
        <v>915</v>
      </c>
      <c r="C695" t="s">
        <v>2814</v>
      </c>
      <c r="D695" t="s">
        <v>2780</v>
      </c>
      <c r="E695" t="s">
        <v>2823</v>
      </c>
      <c r="F695" t="str">
        <f>"241/504"</f>
        <v>241/504</v>
      </c>
      <c r="G695" t="s">
        <v>3127</v>
      </c>
      <c r="H695" t="s">
        <v>916</v>
      </c>
      <c r="I695">
        <v>31.24</v>
      </c>
    </row>
    <row r="696" spans="1:9" ht="12.75">
      <c r="A696">
        <v>691</v>
      </c>
      <c r="B696" t="s">
        <v>270</v>
      </c>
      <c r="C696" t="s">
        <v>2895</v>
      </c>
      <c r="D696" t="s">
        <v>2780</v>
      </c>
      <c r="E696" t="s">
        <v>2823</v>
      </c>
      <c r="F696" t="str">
        <f>"242/504"</f>
        <v>242/504</v>
      </c>
      <c r="G696" t="s">
        <v>795</v>
      </c>
      <c r="H696" t="s">
        <v>917</v>
      </c>
      <c r="I696">
        <v>31.24</v>
      </c>
    </row>
    <row r="697" spans="1:9" ht="12.75">
      <c r="A697">
        <v>692</v>
      </c>
      <c r="B697" t="s">
        <v>2798</v>
      </c>
      <c r="C697" t="s">
        <v>2942</v>
      </c>
      <c r="D697" t="s">
        <v>2780</v>
      </c>
      <c r="E697" t="s">
        <v>2973</v>
      </c>
      <c r="F697" t="str">
        <f>"36/167"</f>
        <v>36/167</v>
      </c>
      <c r="G697" t="s">
        <v>918</v>
      </c>
      <c r="H697" t="s">
        <v>919</v>
      </c>
      <c r="I697">
        <v>31.23</v>
      </c>
    </row>
    <row r="698" spans="1:9" ht="12.75">
      <c r="A698">
        <v>693</v>
      </c>
      <c r="B698" t="s">
        <v>2835</v>
      </c>
      <c r="C698" t="s">
        <v>3114</v>
      </c>
      <c r="D698" t="s">
        <v>2780</v>
      </c>
      <c r="E698" t="s">
        <v>2799</v>
      </c>
      <c r="F698" t="str">
        <f>"54/99"</f>
        <v>54/99</v>
      </c>
      <c r="G698" t="s">
        <v>920</v>
      </c>
      <c r="H698" t="s">
        <v>921</v>
      </c>
      <c r="I698">
        <v>31.23</v>
      </c>
    </row>
    <row r="699" spans="1:9" ht="12.75">
      <c r="A699">
        <v>694</v>
      </c>
      <c r="B699" t="s">
        <v>922</v>
      </c>
      <c r="C699" t="s">
        <v>2830</v>
      </c>
      <c r="D699" t="s">
        <v>2780</v>
      </c>
      <c r="E699" t="s">
        <v>2823</v>
      </c>
      <c r="F699" t="str">
        <f>"243/504"</f>
        <v>243/504</v>
      </c>
      <c r="G699" t="s">
        <v>923</v>
      </c>
      <c r="H699" t="s">
        <v>921</v>
      </c>
      <c r="I699">
        <v>31.23</v>
      </c>
    </row>
    <row r="700" spans="1:9" ht="12.75">
      <c r="A700">
        <v>695</v>
      </c>
      <c r="B700" t="s">
        <v>924</v>
      </c>
      <c r="C700" t="s">
        <v>2961</v>
      </c>
      <c r="D700" t="s">
        <v>2780</v>
      </c>
      <c r="E700" t="s">
        <v>2973</v>
      </c>
      <c r="F700" t="str">
        <f>"37/167"</f>
        <v>37/167</v>
      </c>
      <c r="G700" t="s">
        <v>925</v>
      </c>
      <c r="H700" t="s">
        <v>926</v>
      </c>
      <c r="I700">
        <v>31.22</v>
      </c>
    </row>
    <row r="701" spans="1:9" ht="12.75">
      <c r="A701">
        <v>696</v>
      </c>
      <c r="B701" t="s">
        <v>3497</v>
      </c>
      <c r="C701" t="s">
        <v>2807</v>
      </c>
      <c r="D701" t="s">
        <v>2780</v>
      </c>
      <c r="E701" t="s">
        <v>2818</v>
      </c>
      <c r="F701" t="str">
        <f>"104/307"</f>
        <v>104/307</v>
      </c>
      <c r="G701" t="s">
        <v>327</v>
      </c>
      <c r="H701" t="s">
        <v>927</v>
      </c>
      <c r="I701">
        <v>31.22</v>
      </c>
    </row>
    <row r="702" spans="1:9" ht="12.75">
      <c r="A702">
        <v>697</v>
      </c>
      <c r="B702" t="s">
        <v>928</v>
      </c>
      <c r="C702" t="s">
        <v>929</v>
      </c>
      <c r="D702" t="s">
        <v>2780</v>
      </c>
      <c r="E702" t="s">
        <v>2823</v>
      </c>
      <c r="F702" t="str">
        <f>"244/504"</f>
        <v>244/504</v>
      </c>
      <c r="G702" t="s">
        <v>930</v>
      </c>
      <c r="H702" t="s">
        <v>931</v>
      </c>
      <c r="I702">
        <v>31.21</v>
      </c>
    </row>
    <row r="703" spans="1:9" ht="12.75">
      <c r="A703">
        <v>698</v>
      </c>
      <c r="B703" t="s">
        <v>932</v>
      </c>
      <c r="C703" t="s">
        <v>933</v>
      </c>
      <c r="D703" t="s">
        <v>2780</v>
      </c>
      <c r="E703" t="s">
        <v>2823</v>
      </c>
      <c r="F703" t="str">
        <f>"245/504"</f>
        <v>245/504</v>
      </c>
      <c r="G703" t="s">
        <v>3070</v>
      </c>
      <c r="H703" t="s">
        <v>934</v>
      </c>
      <c r="I703">
        <v>31.21</v>
      </c>
    </row>
    <row r="704" spans="1:9" ht="12.75">
      <c r="A704">
        <v>699</v>
      </c>
      <c r="B704" t="s">
        <v>935</v>
      </c>
      <c r="C704" t="s">
        <v>3417</v>
      </c>
      <c r="D704" t="s">
        <v>2780</v>
      </c>
      <c r="E704" t="s">
        <v>2818</v>
      </c>
      <c r="F704" t="str">
        <f>"105/307"</f>
        <v>105/307</v>
      </c>
      <c r="G704" t="s">
        <v>936</v>
      </c>
      <c r="H704" t="s">
        <v>937</v>
      </c>
      <c r="I704">
        <v>31.21</v>
      </c>
    </row>
    <row r="705" spans="1:9" ht="12.75">
      <c r="A705">
        <v>700</v>
      </c>
      <c r="B705" t="s">
        <v>3664</v>
      </c>
      <c r="C705" t="s">
        <v>3008</v>
      </c>
      <c r="D705" t="s">
        <v>2780</v>
      </c>
      <c r="E705" t="s">
        <v>2781</v>
      </c>
      <c r="F705" t="str">
        <f>"183/329"</f>
        <v>183/329</v>
      </c>
      <c r="G705" t="s">
        <v>2889</v>
      </c>
      <c r="H705" t="s">
        <v>938</v>
      </c>
      <c r="I705">
        <v>31.21</v>
      </c>
    </row>
    <row r="706" spans="1:9" ht="12.75">
      <c r="A706">
        <v>701</v>
      </c>
      <c r="B706" t="s">
        <v>939</v>
      </c>
      <c r="C706" t="s">
        <v>3318</v>
      </c>
      <c r="D706" t="s">
        <v>2780</v>
      </c>
      <c r="E706" t="s">
        <v>2781</v>
      </c>
      <c r="F706" t="str">
        <f>"184/329"</f>
        <v>184/329</v>
      </c>
      <c r="G706" t="s">
        <v>314</v>
      </c>
      <c r="H706" t="s">
        <v>940</v>
      </c>
      <c r="I706">
        <v>31.2</v>
      </c>
    </row>
    <row r="707" spans="1:9" ht="12.75">
      <c r="A707">
        <v>702</v>
      </c>
      <c r="B707" t="s">
        <v>941</v>
      </c>
      <c r="C707" t="s">
        <v>3114</v>
      </c>
      <c r="D707" t="s">
        <v>2780</v>
      </c>
      <c r="E707" t="s">
        <v>2823</v>
      </c>
      <c r="F707" t="str">
        <f>"246/504"</f>
        <v>246/504</v>
      </c>
      <c r="G707" t="s">
        <v>942</v>
      </c>
      <c r="H707" t="s">
        <v>943</v>
      </c>
      <c r="I707">
        <v>31.18</v>
      </c>
    </row>
    <row r="708" spans="1:9" ht="12.75">
      <c r="A708">
        <v>703</v>
      </c>
      <c r="B708" t="s">
        <v>944</v>
      </c>
      <c r="C708" t="s">
        <v>3098</v>
      </c>
      <c r="D708" t="s">
        <v>2780</v>
      </c>
      <c r="E708" t="s">
        <v>2781</v>
      </c>
      <c r="F708" t="str">
        <f>"185/329"</f>
        <v>185/329</v>
      </c>
      <c r="G708" t="s">
        <v>945</v>
      </c>
      <c r="H708" t="s">
        <v>946</v>
      </c>
      <c r="I708">
        <v>31.17</v>
      </c>
    </row>
    <row r="709" spans="1:9" ht="12.75">
      <c r="A709">
        <v>704</v>
      </c>
      <c r="B709" t="s">
        <v>947</v>
      </c>
      <c r="C709" t="s">
        <v>2798</v>
      </c>
      <c r="D709" t="s">
        <v>2780</v>
      </c>
      <c r="E709" t="s">
        <v>2823</v>
      </c>
      <c r="F709" t="str">
        <f>"247/504"</f>
        <v>247/504</v>
      </c>
      <c r="G709" t="s">
        <v>758</v>
      </c>
      <c r="H709" t="s">
        <v>948</v>
      </c>
      <c r="I709">
        <v>31.16</v>
      </c>
    </row>
    <row r="710" spans="1:9" ht="12.75">
      <c r="A710">
        <v>705</v>
      </c>
      <c r="B710" t="s">
        <v>949</v>
      </c>
      <c r="C710" t="s">
        <v>2914</v>
      </c>
      <c r="D710" t="s">
        <v>2780</v>
      </c>
      <c r="E710" t="s">
        <v>2823</v>
      </c>
      <c r="F710" t="str">
        <f>"248/504"</f>
        <v>248/504</v>
      </c>
      <c r="G710" t="s">
        <v>950</v>
      </c>
      <c r="H710" t="s">
        <v>951</v>
      </c>
      <c r="I710">
        <v>31.16</v>
      </c>
    </row>
    <row r="711" spans="1:9" ht="12.75">
      <c r="A711">
        <v>706</v>
      </c>
      <c r="B711" t="s">
        <v>528</v>
      </c>
      <c r="C711" t="s">
        <v>952</v>
      </c>
      <c r="D711" t="s">
        <v>3031</v>
      </c>
      <c r="E711" t="s">
        <v>3032</v>
      </c>
      <c r="F711" t="str">
        <f>"17/54"</f>
        <v>17/54</v>
      </c>
      <c r="G711" t="s">
        <v>953</v>
      </c>
      <c r="H711" t="s">
        <v>954</v>
      </c>
      <c r="I711">
        <v>31.14</v>
      </c>
    </row>
    <row r="712" spans="1:9" ht="12.75">
      <c r="A712">
        <v>707</v>
      </c>
      <c r="B712" t="s">
        <v>955</v>
      </c>
      <c r="C712" t="s">
        <v>2861</v>
      </c>
      <c r="D712" t="s">
        <v>2780</v>
      </c>
      <c r="E712" t="s">
        <v>2823</v>
      </c>
      <c r="F712" t="str">
        <f>"249/504"</f>
        <v>249/504</v>
      </c>
      <c r="G712" t="s">
        <v>3472</v>
      </c>
      <c r="H712" t="s">
        <v>956</v>
      </c>
      <c r="I712">
        <v>31.14</v>
      </c>
    </row>
    <row r="713" spans="1:9" ht="12.75">
      <c r="A713">
        <v>708</v>
      </c>
      <c r="B713" t="s">
        <v>957</v>
      </c>
      <c r="C713" t="s">
        <v>2931</v>
      </c>
      <c r="D713" t="s">
        <v>2780</v>
      </c>
      <c r="E713" t="s">
        <v>2823</v>
      </c>
      <c r="F713" t="str">
        <f>"250/504"</f>
        <v>250/504</v>
      </c>
      <c r="G713" t="s">
        <v>697</v>
      </c>
      <c r="H713" t="s">
        <v>958</v>
      </c>
      <c r="I713">
        <v>31.14</v>
      </c>
    </row>
    <row r="714" spans="1:9" ht="12.75">
      <c r="A714">
        <v>709</v>
      </c>
      <c r="B714" t="s">
        <v>959</v>
      </c>
      <c r="C714" t="s">
        <v>2895</v>
      </c>
      <c r="D714" t="s">
        <v>2780</v>
      </c>
      <c r="E714" t="s">
        <v>2823</v>
      </c>
      <c r="F714" t="str">
        <f>"251/504"</f>
        <v>251/504</v>
      </c>
      <c r="G714" t="s">
        <v>960</v>
      </c>
      <c r="H714" t="s">
        <v>961</v>
      </c>
      <c r="I714">
        <v>31.14</v>
      </c>
    </row>
    <row r="715" spans="1:9" ht="12.75">
      <c r="A715">
        <v>710</v>
      </c>
      <c r="B715" t="s">
        <v>962</v>
      </c>
      <c r="C715" t="s">
        <v>208</v>
      </c>
      <c r="D715" t="s">
        <v>2780</v>
      </c>
      <c r="E715" t="s">
        <v>2973</v>
      </c>
      <c r="F715" t="str">
        <f>"38/167"</f>
        <v>38/167</v>
      </c>
      <c r="G715" t="s">
        <v>815</v>
      </c>
      <c r="H715" t="s">
        <v>963</v>
      </c>
      <c r="I715">
        <v>31.11</v>
      </c>
    </row>
    <row r="716" spans="1:9" ht="12.75">
      <c r="A716">
        <v>711</v>
      </c>
      <c r="B716" t="s">
        <v>964</v>
      </c>
      <c r="C716" t="s">
        <v>3633</v>
      </c>
      <c r="D716" t="s">
        <v>2780</v>
      </c>
      <c r="E716" t="s">
        <v>2818</v>
      </c>
      <c r="F716" t="str">
        <f>"106/307"</f>
        <v>106/307</v>
      </c>
      <c r="G716" t="s">
        <v>720</v>
      </c>
      <c r="H716" t="s">
        <v>965</v>
      </c>
      <c r="I716">
        <v>31.1</v>
      </c>
    </row>
    <row r="717" spans="1:9" ht="12.75">
      <c r="A717">
        <v>712</v>
      </c>
      <c r="B717" t="s">
        <v>966</v>
      </c>
      <c r="C717" t="s">
        <v>967</v>
      </c>
      <c r="D717" t="s">
        <v>3031</v>
      </c>
      <c r="E717" t="s">
        <v>3032</v>
      </c>
      <c r="F717" t="str">
        <f>"18/54"</f>
        <v>18/54</v>
      </c>
      <c r="G717" t="s">
        <v>815</v>
      </c>
      <c r="H717" t="s">
        <v>968</v>
      </c>
      <c r="I717">
        <v>31.1</v>
      </c>
    </row>
    <row r="718" spans="1:9" ht="12.75">
      <c r="A718">
        <v>713</v>
      </c>
      <c r="B718" t="s">
        <v>969</v>
      </c>
      <c r="C718" t="s">
        <v>3164</v>
      </c>
      <c r="D718" t="s">
        <v>2780</v>
      </c>
      <c r="E718" t="s">
        <v>2823</v>
      </c>
      <c r="F718" t="str">
        <f>"252/504"</f>
        <v>252/504</v>
      </c>
      <c r="G718" t="s">
        <v>420</v>
      </c>
      <c r="H718" t="s">
        <v>970</v>
      </c>
      <c r="I718">
        <v>31.07</v>
      </c>
    </row>
    <row r="719" spans="1:9" ht="12.75">
      <c r="A719">
        <v>714</v>
      </c>
      <c r="B719" t="s">
        <v>971</v>
      </c>
      <c r="C719" t="s">
        <v>2942</v>
      </c>
      <c r="D719" t="s">
        <v>2780</v>
      </c>
      <c r="E719" t="s">
        <v>2823</v>
      </c>
      <c r="F719" t="str">
        <f>"253/504"</f>
        <v>253/504</v>
      </c>
      <c r="G719" t="s">
        <v>972</v>
      </c>
      <c r="H719" t="s">
        <v>973</v>
      </c>
      <c r="I719">
        <v>31.06</v>
      </c>
    </row>
    <row r="720" spans="1:9" ht="12.75">
      <c r="A720">
        <v>715</v>
      </c>
      <c r="B720" t="s">
        <v>974</v>
      </c>
      <c r="C720" t="s">
        <v>3102</v>
      </c>
      <c r="D720" t="s">
        <v>2780</v>
      </c>
      <c r="E720" t="s">
        <v>2781</v>
      </c>
      <c r="F720" t="str">
        <f>"186/329"</f>
        <v>186/329</v>
      </c>
      <c r="G720" t="s">
        <v>975</v>
      </c>
      <c r="H720" t="s">
        <v>976</v>
      </c>
      <c r="I720">
        <v>31.05</v>
      </c>
    </row>
    <row r="721" spans="1:9" ht="12.75">
      <c r="A721">
        <v>716</v>
      </c>
      <c r="B721" t="s">
        <v>977</v>
      </c>
      <c r="C721" t="s">
        <v>39</v>
      </c>
      <c r="D721" t="s">
        <v>2780</v>
      </c>
      <c r="E721" t="s">
        <v>2781</v>
      </c>
      <c r="F721" t="str">
        <f>"187/329"</f>
        <v>187/329</v>
      </c>
      <c r="G721" t="s">
        <v>3289</v>
      </c>
      <c r="H721" t="s">
        <v>978</v>
      </c>
      <c r="I721">
        <v>31.05</v>
      </c>
    </row>
    <row r="722" spans="1:9" ht="12.75">
      <c r="A722">
        <v>717</v>
      </c>
      <c r="B722" t="s">
        <v>979</v>
      </c>
      <c r="C722" t="s">
        <v>2836</v>
      </c>
      <c r="D722" t="s">
        <v>2780</v>
      </c>
      <c r="E722" t="s">
        <v>2823</v>
      </c>
      <c r="F722" t="str">
        <f>"254/504"</f>
        <v>254/504</v>
      </c>
      <c r="G722" t="s">
        <v>980</v>
      </c>
      <c r="H722" t="s">
        <v>981</v>
      </c>
      <c r="I722">
        <v>31.04</v>
      </c>
    </row>
    <row r="723" spans="1:9" ht="12.75">
      <c r="A723">
        <v>718</v>
      </c>
      <c r="B723" t="s">
        <v>982</v>
      </c>
      <c r="C723" t="s">
        <v>2868</v>
      </c>
      <c r="D723" t="s">
        <v>2780</v>
      </c>
      <c r="E723" t="s">
        <v>2781</v>
      </c>
      <c r="F723" t="str">
        <f>"188/329"</f>
        <v>188/329</v>
      </c>
      <c r="G723" t="s">
        <v>3535</v>
      </c>
      <c r="H723" t="s">
        <v>983</v>
      </c>
      <c r="I723">
        <v>31.04</v>
      </c>
    </row>
    <row r="724" spans="1:9" ht="12.75">
      <c r="A724">
        <v>719</v>
      </c>
      <c r="B724" t="s">
        <v>984</v>
      </c>
      <c r="C724" t="s">
        <v>3406</v>
      </c>
      <c r="D724" t="s">
        <v>2780</v>
      </c>
      <c r="E724" t="s">
        <v>2823</v>
      </c>
      <c r="F724" t="str">
        <f>"255/504"</f>
        <v>255/504</v>
      </c>
      <c r="G724" t="s">
        <v>985</v>
      </c>
      <c r="H724" t="s">
        <v>986</v>
      </c>
      <c r="I724">
        <v>31.03</v>
      </c>
    </row>
    <row r="725" spans="1:9" ht="12.75">
      <c r="A725">
        <v>720</v>
      </c>
      <c r="B725" t="s">
        <v>987</v>
      </c>
      <c r="C725" t="s">
        <v>2794</v>
      </c>
      <c r="D725" t="s">
        <v>2780</v>
      </c>
      <c r="E725" t="s">
        <v>2781</v>
      </c>
      <c r="F725" t="str">
        <f>"189/329"</f>
        <v>189/329</v>
      </c>
      <c r="G725" t="s">
        <v>988</v>
      </c>
      <c r="H725" t="s">
        <v>989</v>
      </c>
      <c r="I725">
        <v>31.03</v>
      </c>
    </row>
    <row r="726" spans="1:9" ht="12.75">
      <c r="A726">
        <v>721</v>
      </c>
      <c r="B726" t="s">
        <v>990</v>
      </c>
      <c r="C726" t="s">
        <v>3008</v>
      </c>
      <c r="D726" t="s">
        <v>2780</v>
      </c>
      <c r="E726" t="s">
        <v>2823</v>
      </c>
      <c r="F726" t="str">
        <f>"256/504"</f>
        <v>256/504</v>
      </c>
      <c r="G726" t="s">
        <v>2787</v>
      </c>
      <c r="H726" t="s">
        <v>991</v>
      </c>
      <c r="I726">
        <v>31.02</v>
      </c>
    </row>
    <row r="727" spans="1:9" ht="12.75">
      <c r="A727">
        <v>722</v>
      </c>
      <c r="B727" t="s">
        <v>992</v>
      </c>
      <c r="C727" t="s">
        <v>3192</v>
      </c>
      <c r="D727" t="s">
        <v>2780</v>
      </c>
      <c r="E727" t="s">
        <v>2781</v>
      </c>
      <c r="F727" t="str">
        <f>"190/329"</f>
        <v>190/329</v>
      </c>
      <c r="G727" t="s">
        <v>3176</v>
      </c>
      <c r="H727" t="s">
        <v>993</v>
      </c>
      <c r="I727">
        <v>31.01</v>
      </c>
    </row>
    <row r="728" spans="1:9" ht="12.75">
      <c r="A728">
        <v>723</v>
      </c>
      <c r="B728" t="s">
        <v>994</v>
      </c>
      <c r="C728" t="s">
        <v>2939</v>
      </c>
      <c r="D728" t="s">
        <v>2780</v>
      </c>
      <c r="E728" t="s">
        <v>2823</v>
      </c>
      <c r="F728" t="str">
        <f>"257/504"</f>
        <v>257/504</v>
      </c>
      <c r="G728" t="s">
        <v>76</v>
      </c>
      <c r="H728" t="s">
        <v>993</v>
      </c>
      <c r="I728">
        <v>31.01</v>
      </c>
    </row>
    <row r="729" spans="1:9" ht="12.75">
      <c r="A729">
        <v>724</v>
      </c>
      <c r="B729" t="s">
        <v>995</v>
      </c>
      <c r="C729" t="s">
        <v>3346</v>
      </c>
      <c r="D729" t="s">
        <v>2780</v>
      </c>
      <c r="E729" t="s">
        <v>2799</v>
      </c>
      <c r="F729" t="str">
        <f>"55/99"</f>
        <v>55/99</v>
      </c>
      <c r="G729" t="s">
        <v>3289</v>
      </c>
      <c r="H729" t="s">
        <v>996</v>
      </c>
      <c r="I729">
        <v>31</v>
      </c>
    </row>
    <row r="730" spans="1:9" ht="12.75">
      <c r="A730">
        <v>725</v>
      </c>
      <c r="B730" t="s">
        <v>997</v>
      </c>
      <c r="C730" t="s">
        <v>998</v>
      </c>
      <c r="D730" t="s">
        <v>2780</v>
      </c>
      <c r="E730" t="s">
        <v>2823</v>
      </c>
      <c r="F730" t="str">
        <f>"258/504"</f>
        <v>258/504</v>
      </c>
      <c r="G730" t="s">
        <v>999</v>
      </c>
      <c r="H730" t="s">
        <v>1000</v>
      </c>
      <c r="I730">
        <v>30.99</v>
      </c>
    </row>
    <row r="731" spans="1:9" ht="12.75">
      <c r="A731">
        <v>726</v>
      </c>
      <c r="B731" t="s">
        <v>1001</v>
      </c>
      <c r="C731" t="s">
        <v>2865</v>
      </c>
      <c r="D731" t="s">
        <v>2780</v>
      </c>
      <c r="E731" t="s">
        <v>2818</v>
      </c>
      <c r="F731" t="str">
        <f>"107/307"</f>
        <v>107/307</v>
      </c>
      <c r="G731" t="s">
        <v>3549</v>
      </c>
      <c r="H731" t="s">
        <v>1002</v>
      </c>
      <c r="I731">
        <v>30.97</v>
      </c>
    </row>
    <row r="732" spans="1:9" ht="12.75">
      <c r="A732">
        <v>727</v>
      </c>
      <c r="B732" t="s">
        <v>1003</v>
      </c>
      <c r="C732" t="s">
        <v>1004</v>
      </c>
      <c r="D732" t="s">
        <v>2780</v>
      </c>
      <c r="E732" t="s">
        <v>2781</v>
      </c>
      <c r="F732" t="str">
        <f>"191/329"</f>
        <v>191/329</v>
      </c>
      <c r="G732" t="s">
        <v>225</v>
      </c>
      <c r="H732" t="s">
        <v>1005</v>
      </c>
      <c r="I732">
        <v>30.97</v>
      </c>
    </row>
    <row r="733" spans="1:9" ht="12.75">
      <c r="A733">
        <v>728</v>
      </c>
      <c r="B733" t="s">
        <v>1006</v>
      </c>
      <c r="C733" t="s">
        <v>696</v>
      </c>
      <c r="D733" t="s">
        <v>2780</v>
      </c>
      <c r="E733" t="s">
        <v>2973</v>
      </c>
      <c r="F733" t="str">
        <f>"39/167"</f>
        <v>39/167</v>
      </c>
      <c r="G733" t="s">
        <v>607</v>
      </c>
      <c r="H733" t="s">
        <v>1007</v>
      </c>
      <c r="I733">
        <v>30.97</v>
      </c>
    </row>
    <row r="734" spans="1:9" ht="12.75">
      <c r="A734">
        <v>729</v>
      </c>
      <c r="B734" t="s">
        <v>1008</v>
      </c>
      <c r="C734" t="s">
        <v>3346</v>
      </c>
      <c r="D734" t="s">
        <v>2780</v>
      </c>
      <c r="E734" t="s">
        <v>2818</v>
      </c>
      <c r="F734" t="str">
        <f>"108/307"</f>
        <v>108/307</v>
      </c>
      <c r="G734" t="s">
        <v>122</v>
      </c>
      <c r="H734" t="s">
        <v>1009</v>
      </c>
      <c r="I734">
        <v>30.95</v>
      </c>
    </row>
    <row r="735" spans="1:9" ht="12.75">
      <c r="A735">
        <v>730</v>
      </c>
      <c r="B735" t="s">
        <v>1010</v>
      </c>
      <c r="C735" t="s">
        <v>1011</v>
      </c>
      <c r="D735" t="s">
        <v>2780</v>
      </c>
      <c r="E735" t="s">
        <v>2823</v>
      </c>
      <c r="F735" t="str">
        <f>"259/504"</f>
        <v>259/504</v>
      </c>
      <c r="G735" t="s">
        <v>1012</v>
      </c>
      <c r="H735" t="s">
        <v>1013</v>
      </c>
      <c r="I735">
        <v>30.95</v>
      </c>
    </row>
    <row r="736" spans="1:9" ht="12.75">
      <c r="A736">
        <v>731</v>
      </c>
      <c r="B736" t="s">
        <v>61</v>
      </c>
      <c r="C736" t="s">
        <v>504</v>
      </c>
      <c r="D736" t="s">
        <v>2780</v>
      </c>
      <c r="E736" t="s">
        <v>2823</v>
      </c>
      <c r="F736" t="str">
        <f>"260/504"</f>
        <v>260/504</v>
      </c>
      <c r="G736" t="s">
        <v>1014</v>
      </c>
      <c r="H736" t="s">
        <v>1015</v>
      </c>
      <c r="I736">
        <v>30.95</v>
      </c>
    </row>
    <row r="737" spans="1:9" ht="12.75">
      <c r="A737">
        <v>732</v>
      </c>
      <c r="B737" t="s">
        <v>3617</v>
      </c>
      <c r="C737" t="s">
        <v>3665</v>
      </c>
      <c r="D737" t="s">
        <v>2780</v>
      </c>
      <c r="E737" t="s">
        <v>3209</v>
      </c>
      <c r="F737" t="str">
        <f>"5/62"</f>
        <v>5/62</v>
      </c>
      <c r="G737" t="s">
        <v>1016</v>
      </c>
      <c r="H737" t="s">
        <v>1017</v>
      </c>
      <c r="I737">
        <v>30.94</v>
      </c>
    </row>
    <row r="738" spans="1:9" ht="12.75">
      <c r="A738">
        <v>733</v>
      </c>
      <c r="B738" t="s">
        <v>1018</v>
      </c>
      <c r="C738" t="s">
        <v>3421</v>
      </c>
      <c r="D738" t="s">
        <v>2780</v>
      </c>
      <c r="E738" t="s">
        <v>2781</v>
      </c>
      <c r="F738" t="str">
        <f>"192/329"</f>
        <v>192/329</v>
      </c>
      <c r="G738" t="s">
        <v>1019</v>
      </c>
      <c r="H738" t="s">
        <v>1017</v>
      </c>
      <c r="I738">
        <v>30.94</v>
      </c>
    </row>
    <row r="739" spans="1:9" ht="12.75">
      <c r="A739">
        <v>734</v>
      </c>
      <c r="B739" t="s">
        <v>1020</v>
      </c>
      <c r="C739" t="s">
        <v>3464</v>
      </c>
      <c r="D739" t="s">
        <v>2780</v>
      </c>
      <c r="E739" t="s">
        <v>2823</v>
      </c>
      <c r="F739" t="str">
        <f>"261/504"</f>
        <v>261/504</v>
      </c>
      <c r="G739" t="s">
        <v>3252</v>
      </c>
      <c r="H739" t="s">
        <v>1021</v>
      </c>
      <c r="I739">
        <v>30.94</v>
      </c>
    </row>
    <row r="740" spans="1:9" ht="12.75">
      <c r="A740">
        <v>735</v>
      </c>
      <c r="B740" t="s">
        <v>1022</v>
      </c>
      <c r="C740" t="s">
        <v>1023</v>
      </c>
      <c r="D740" t="s">
        <v>2780</v>
      </c>
      <c r="E740" t="s">
        <v>2823</v>
      </c>
      <c r="F740" t="str">
        <f>"262/504"</f>
        <v>262/504</v>
      </c>
      <c r="G740" t="s">
        <v>806</v>
      </c>
      <c r="H740" t="s">
        <v>1024</v>
      </c>
      <c r="I740">
        <v>30.93</v>
      </c>
    </row>
    <row r="741" spans="1:9" ht="12.75">
      <c r="A741">
        <v>736</v>
      </c>
      <c r="B741" t="s">
        <v>1025</v>
      </c>
      <c r="C741" t="s">
        <v>3141</v>
      </c>
      <c r="D741" t="s">
        <v>2780</v>
      </c>
      <c r="E741" t="s">
        <v>2781</v>
      </c>
      <c r="F741" t="str">
        <f>"193/329"</f>
        <v>193/329</v>
      </c>
      <c r="G741" t="s">
        <v>1026</v>
      </c>
      <c r="H741" t="s">
        <v>1027</v>
      </c>
      <c r="I741">
        <v>30.93</v>
      </c>
    </row>
    <row r="742" spans="1:9" ht="12.75">
      <c r="A742">
        <v>737</v>
      </c>
      <c r="B742" t="s">
        <v>1028</v>
      </c>
      <c r="C742" t="s">
        <v>3576</v>
      </c>
      <c r="D742" t="s">
        <v>2780</v>
      </c>
      <c r="E742" t="s">
        <v>2823</v>
      </c>
      <c r="F742" t="str">
        <f>"263/504"</f>
        <v>263/504</v>
      </c>
      <c r="G742" t="s">
        <v>1029</v>
      </c>
      <c r="H742" t="s">
        <v>1030</v>
      </c>
      <c r="I742">
        <v>30.93</v>
      </c>
    </row>
    <row r="743" spans="1:9" ht="12.75">
      <c r="A743">
        <v>738</v>
      </c>
      <c r="B743" t="s">
        <v>1031</v>
      </c>
      <c r="C743" t="s">
        <v>1032</v>
      </c>
      <c r="D743" t="s">
        <v>2780</v>
      </c>
      <c r="E743" t="s">
        <v>2818</v>
      </c>
      <c r="F743" t="str">
        <f>"109/307"</f>
        <v>109/307</v>
      </c>
      <c r="G743" t="s">
        <v>3327</v>
      </c>
      <c r="H743" t="s">
        <v>1033</v>
      </c>
      <c r="I743">
        <v>30.91</v>
      </c>
    </row>
    <row r="744" spans="1:9" ht="12.75">
      <c r="A744">
        <v>739</v>
      </c>
      <c r="B744" t="s">
        <v>14</v>
      </c>
      <c r="C744" t="s">
        <v>2836</v>
      </c>
      <c r="D744" t="s">
        <v>2780</v>
      </c>
      <c r="E744" t="s">
        <v>2786</v>
      </c>
      <c r="F744" t="str">
        <f>"42/58"</f>
        <v>42/58</v>
      </c>
      <c r="G744" t="s">
        <v>3252</v>
      </c>
      <c r="H744" t="s">
        <v>1034</v>
      </c>
      <c r="I744">
        <v>30.91</v>
      </c>
    </row>
    <row r="745" spans="1:9" ht="12.75">
      <c r="A745">
        <v>740</v>
      </c>
      <c r="B745" t="s">
        <v>1035</v>
      </c>
      <c r="C745" t="s">
        <v>1036</v>
      </c>
      <c r="D745" t="s">
        <v>2780</v>
      </c>
      <c r="E745" t="s">
        <v>3209</v>
      </c>
      <c r="F745" t="str">
        <f>"6/62"</f>
        <v>6/62</v>
      </c>
      <c r="G745" t="s">
        <v>3422</v>
      </c>
      <c r="H745" t="s">
        <v>1037</v>
      </c>
      <c r="I745">
        <v>30.91</v>
      </c>
    </row>
    <row r="746" spans="1:9" ht="12.75">
      <c r="A746">
        <v>741</v>
      </c>
      <c r="B746" t="s">
        <v>1038</v>
      </c>
      <c r="C746" t="s">
        <v>3406</v>
      </c>
      <c r="D746" t="s">
        <v>2780</v>
      </c>
      <c r="E746" t="s">
        <v>2973</v>
      </c>
      <c r="F746" t="str">
        <f>"40/167"</f>
        <v>40/167</v>
      </c>
      <c r="G746" t="s">
        <v>1039</v>
      </c>
      <c r="H746" t="s">
        <v>1040</v>
      </c>
      <c r="I746">
        <v>30.9</v>
      </c>
    </row>
    <row r="747" spans="1:9" ht="12.75">
      <c r="A747">
        <v>742</v>
      </c>
      <c r="B747" t="s">
        <v>1041</v>
      </c>
      <c r="C747" t="s">
        <v>3205</v>
      </c>
      <c r="D747" t="s">
        <v>2780</v>
      </c>
      <c r="E747" t="s">
        <v>2818</v>
      </c>
      <c r="F747" t="str">
        <f>"110/307"</f>
        <v>110/307</v>
      </c>
      <c r="G747" t="s">
        <v>1042</v>
      </c>
      <c r="H747" t="s">
        <v>1043</v>
      </c>
      <c r="I747">
        <v>30.9</v>
      </c>
    </row>
    <row r="748" spans="1:9" ht="12.75">
      <c r="A748">
        <v>743</v>
      </c>
      <c r="B748" t="s">
        <v>1044</v>
      </c>
      <c r="C748" t="s">
        <v>2963</v>
      </c>
      <c r="D748" t="s">
        <v>2780</v>
      </c>
      <c r="E748" t="s">
        <v>2799</v>
      </c>
      <c r="F748" t="str">
        <f>"56/99"</f>
        <v>56/99</v>
      </c>
      <c r="G748" t="s">
        <v>1045</v>
      </c>
      <c r="H748" t="s">
        <v>1046</v>
      </c>
      <c r="I748">
        <v>30.89</v>
      </c>
    </row>
    <row r="749" spans="1:9" ht="12.75">
      <c r="A749">
        <v>744</v>
      </c>
      <c r="B749" t="s">
        <v>1047</v>
      </c>
      <c r="C749" t="s">
        <v>1048</v>
      </c>
      <c r="D749" t="s">
        <v>2780</v>
      </c>
      <c r="E749" t="s">
        <v>2973</v>
      </c>
      <c r="F749" t="str">
        <f>"41/167"</f>
        <v>41/167</v>
      </c>
      <c r="G749" t="s">
        <v>1049</v>
      </c>
      <c r="H749" t="s">
        <v>1050</v>
      </c>
      <c r="I749">
        <v>30.88</v>
      </c>
    </row>
    <row r="750" spans="1:9" ht="12.75">
      <c r="A750">
        <v>745</v>
      </c>
      <c r="B750" t="s">
        <v>1051</v>
      </c>
      <c r="C750" t="s">
        <v>3174</v>
      </c>
      <c r="D750" t="s">
        <v>2780</v>
      </c>
      <c r="E750" t="s">
        <v>2781</v>
      </c>
      <c r="F750" t="str">
        <f>"194/329"</f>
        <v>194/329</v>
      </c>
      <c r="G750" t="s">
        <v>3428</v>
      </c>
      <c r="H750" t="s">
        <v>1052</v>
      </c>
      <c r="I750">
        <v>30.87</v>
      </c>
    </row>
    <row r="751" spans="1:9" ht="12.75">
      <c r="A751">
        <v>746</v>
      </c>
      <c r="B751" t="s">
        <v>1053</v>
      </c>
      <c r="C751" t="s">
        <v>3114</v>
      </c>
      <c r="D751" t="s">
        <v>2780</v>
      </c>
      <c r="E751" t="s">
        <v>2799</v>
      </c>
      <c r="F751" t="str">
        <f>"57/99"</f>
        <v>57/99</v>
      </c>
      <c r="G751" t="s">
        <v>1054</v>
      </c>
      <c r="H751" t="s">
        <v>1055</v>
      </c>
      <c r="I751">
        <v>30.87</v>
      </c>
    </row>
    <row r="752" spans="1:9" ht="12.75">
      <c r="A752">
        <v>747</v>
      </c>
      <c r="B752" t="s">
        <v>1056</v>
      </c>
      <c r="C752" t="s">
        <v>1036</v>
      </c>
      <c r="D752" t="s">
        <v>2780</v>
      </c>
      <c r="E752" t="s">
        <v>2818</v>
      </c>
      <c r="F752" t="str">
        <f>"111/307"</f>
        <v>111/307</v>
      </c>
      <c r="G752" t="s">
        <v>3535</v>
      </c>
      <c r="H752" t="s">
        <v>1057</v>
      </c>
      <c r="I752">
        <v>30.86</v>
      </c>
    </row>
    <row r="753" spans="1:9" ht="12.75">
      <c r="A753">
        <v>748</v>
      </c>
      <c r="B753" t="s">
        <v>1058</v>
      </c>
      <c r="C753" t="s">
        <v>3633</v>
      </c>
      <c r="D753" t="s">
        <v>3031</v>
      </c>
      <c r="E753" t="s">
        <v>3244</v>
      </c>
      <c r="F753" t="str">
        <f>"10/63"</f>
        <v>10/63</v>
      </c>
      <c r="G753" t="s">
        <v>3252</v>
      </c>
      <c r="H753" t="s">
        <v>1059</v>
      </c>
      <c r="I753">
        <v>30.84</v>
      </c>
    </row>
    <row r="754" spans="1:9" ht="12.75">
      <c r="A754">
        <v>749</v>
      </c>
      <c r="B754" t="s">
        <v>1060</v>
      </c>
      <c r="C754" t="s">
        <v>2963</v>
      </c>
      <c r="D754" t="s">
        <v>2780</v>
      </c>
      <c r="E754" t="s">
        <v>2799</v>
      </c>
      <c r="F754" t="str">
        <f>"58/99"</f>
        <v>58/99</v>
      </c>
      <c r="G754" t="s">
        <v>2804</v>
      </c>
      <c r="H754" t="s">
        <v>1061</v>
      </c>
      <c r="I754">
        <v>30.84</v>
      </c>
    </row>
    <row r="755" spans="1:9" ht="12.75">
      <c r="A755">
        <v>750</v>
      </c>
      <c r="B755" t="s">
        <v>3525</v>
      </c>
      <c r="C755" t="s">
        <v>3087</v>
      </c>
      <c r="D755" t="s">
        <v>2780</v>
      </c>
      <c r="E755" t="s">
        <v>2818</v>
      </c>
      <c r="F755" t="str">
        <f>"112/307"</f>
        <v>112/307</v>
      </c>
      <c r="G755" t="s">
        <v>3492</v>
      </c>
      <c r="H755" t="s">
        <v>1062</v>
      </c>
      <c r="I755">
        <v>30.84</v>
      </c>
    </row>
    <row r="756" spans="1:9" ht="12.75">
      <c r="A756">
        <v>751</v>
      </c>
      <c r="B756" t="s">
        <v>1063</v>
      </c>
      <c r="C756" t="s">
        <v>3008</v>
      </c>
      <c r="D756" t="s">
        <v>2780</v>
      </c>
      <c r="E756" t="s">
        <v>2823</v>
      </c>
      <c r="F756" t="str">
        <f>"264/504"</f>
        <v>264/504</v>
      </c>
      <c r="G756" t="s">
        <v>1064</v>
      </c>
      <c r="H756" t="s">
        <v>1065</v>
      </c>
      <c r="I756">
        <v>30.82</v>
      </c>
    </row>
    <row r="757" spans="1:9" ht="12.75">
      <c r="A757">
        <v>752</v>
      </c>
      <c r="B757" t="s">
        <v>1066</v>
      </c>
      <c r="C757" t="s">
        <v>2840</v>
      </c>
      <c r="D757" t="s">
        <v>2780</v>
      </c>
      <c r="E757" t="s">
        <v>2823</v>
      </c>
      <c r="F757" t="str">
        <f>"265/504"</f>
        <v>265/504</v>
      </c>
      <c r="G757" t="s">
        <v>416</v>
      </c>
      <c r="H757" t="s">
        <v>1067</v>
      </c>
      <c r="I757">
        <v>30.81</v>
      </c>
    </row>
    <row r="758" spans="1:9" ht="12.75">
      <c r="A758">
        <v>753</v>
      </c>
      <c r="B758" t="s">
        <v>1068</v>
      </c>
      <c r="C758" t="s">
        <v>3346</v>
      </c>
      <c r="D758" t="s">
        <v>2780</v>
      </c>
      <c r="E758" t="s">
        <v>2823</v>
      </c>
      <c r="F758" t="str">
        <f>"266/504"</f>
        <v>266/504</v>
      </c>
      <c r="G758" t="s">
        <v>2896</v>
      </c>
      <c r="H758" t="s">
        <v>1069</v>
      </c>
      <c r="I758">
        <v>30.81</v>
      </c>
    </row>
    <row r="759" spans="1:9" ht="12.75">
      <c r="A759">
        <v>754</v>
      </c>
      <c r="B759" t="s">
        <v>242</v>
      </c>
      <c r="C759" t="s">
        <v>2966</v>
      </c>
      <c r="D759" t="s">
        <v>2780</v>
      </c>
      <c r="E759" t="s">
        <v>2823</v>
      </c>
      <c r="F759" t="str">
        <f>"267/504"</f>
        <v>267/504</v>
      </c>
      <c r="G759" t="s">
        <v>1070</v>
      </c>
      <c r="H759" t="s">
        <v>1071</v>
      </c>
      <c r="I759">
        <v>30.81</v>
      </c>
    </row>
    <row r="760" spans="1:9" ht="12.75">
      <c r="A760">
        <v>755</v>
      </c>
      <c r="B760" t="s">
        <v>1072</v>
      </c>
      <c r="C760" t="s">
        <v>3406</v>
      </c>
      <c r="D760" t="s">
        <v>2780</v>
      </c>
      <c r="E760" t="s">
        <v>2823</v>
      </c>
      <c r="F760" t="str">
        <f>"268/504"</f>
        <v>268/504</v>
      </c>
      <c r="G760" t="s">
        <v>3516</v>
      </c>
      <c r="H760" t="s">
        <v>1073</v>
      </c>
      <c r="I760">
        <v>30.81</v>
      </c>
    </row>
    <row r="761" spans="1:9" ht="12.75">
      <c r="A761">
        <v>756</v>
      </c>
      <c r="B761" t="s">
        <v>3373</v>
      </c>
      <c r="C761" t="s">
        <v>1074</v>
      </c>
      <c r="D761" t="s">
        <v>2780</v>
      </c>
      <c r="E761" t="s">
        <v>2781</v>
      </c>
      <c r="F761" t="str">
        <f>"195/329"</f>
        <v>195/329</v>
      </c>
      <c r="G761" t="s">
        <v>1075</v>
      </c>
      <c r="H761" t="s">
        <v>1076</v>
      </c>
      <c r="I761">
        <v>30.77</v>
      </c>
    </row>
    <row r="762" spans="1:9" ht="12.75">
      <c r="A762">
        <v>757</v>
      </c>
      <c r="B762" t="s">
        <v>1077</v>
      </c>
      <c r="C762" t="s">
        <v>857</v>
      </c>
      <c r="D762" t="s">
        <v>2780</v>
      </c>
      <c r="E762" t="s">
        <v>2781</v>
      </c>
      <c r="F762" t="str">
        <f>"196/329"</f>
        <v>196/329</v>
      </c>
      <c r="G762" t="s">
        <v>446</v>
      </c>
      <c r="H762" t="s">
        <v>1078</v>
      </c>
      <c r="I762">
        <v>30.75</v>
      </c>
    </row>
    <row r="763" spans="1:9" ht="12.75">
      <c r="A763">
        <v>758</v>
      </c>
      <c r="B763" t="s">
        <v>1079</v>
      </c>
      <c r="C763" t="s">
        <v>2810</v>
      </c>
      <c r="D763" t="s">
        <v>2780</v>
      </c>
      <c r="E763" t="s">
        <v>2781</v>
      </c>
      <c r="F763" t="str">
        <f>"197/329"</f>
        <v>197/329</v>
      </c>
      <c r="G763" t="s">
        <v>1080</v>
      </c>
      <c r="H763" t="s">
        <v>1081</v>
      </c>
      <c r="I763">
        <v>30.75</v>
      </c>
    </row>
    <row r="764" spans="1:9" ht="12.75">
      <c r="A764">
        <v>759</v>
      </c>
      <c r="B764" t="s">
        <v>1082</v>
      </c>
      <c r="C764" t="s">
        <v>1083</v>
      </c>
      <c r="D764" t="s">
        <v>3031</v>
      </c>
      <c r="E764" t="s">
        <v>3032</v>
      </c>
      <c r="F764" t="str">
        <f>"19/54"</f>
        <v>19/54</v>
      </c>
      <c r="G764" t="s">
        <v>2804</v>
      </c>
      <c r="H764" t="s">
        <v>1084</v>
      </c>
      <c r="I764">
        <v>30.75</v>
      </c>
    </row>
    <row r="765" spans="1:9" ht="12.75">
      <c r="A765">
        <v>760</v>
      </c>
      <c r="B765" t="s">
        <v>1085</v>
      </c>
      <c r="C765" t="s">
        <v>2807</v>
      </c>
      <c r="D765" t="s">
        <v>2780</v>
      </c>
      <c r="E765" t="s">
        <v>2823</v>
      </c>
      <c r="F765" t="str">
        <f>"269/504"</f>
        <v>269/504</v>
      </c>
      <c r="G765" t="s">
        <v>1086</v>
      </c>
      <c r="H765" t="s">
        <v>1087</v>
      </c>
      <c r="I765">
        <v>30.74</v>
      </c>
    </row>
    <row r="766" spans="1:9" ht="12.75">
      <c r="A766">
        <v>761</v>
      </c>
      <c r="B766" t="s">
        <v>1088</v>
      </c>
      <c r="C766" t="s">
        <v>3021</v>
      </c>
      <c r="D766" t="s">
        <v>2780</v>
      </c>
      <c r="E766" t="s">
        <v>2818</v>
      </c>
      <c r="F766" t="str">
        <f>"113/307"</f>
        <v>113/307</v>
      </c>
      <c r="G766" t="s">
        <v>661</v>
      </c>
      <c r="H766" t="s">
        <v>1089</v>
      </c>
      <c r="I766">
        <v>30.72</v>
      </c>
    </row>
    <row r="767" spans="1:9" ht="12.75">
      <c r="A767">
        <v>762</v>
      </c>
      <c r="B767" t="s">
        <v>1090</v>
      </c>
      <c r="C767" t="s">
        <v>2817</v>
      </c>
      <c r="D767" t="s">
        <v>2780</v>
      </c>
      <c r="E767" t="s">
        <v>2823</v>
      </c>
      <c r="F767" t="str">
        <f>"270/504"</f>
        <v>270/504</v>
      </c>
      <c r="G767" t="s">
        <v>3363</v>
      </c>
      <c r="H767" t="s">
        <v>1091</v>
      </c>
      <c r="I767">
        <v>30.7</v>
      </c>
    </row>
    <row r="768" spans="1:9" ht="12.75">
      <c r="A768">
        <v>763</v>
      </c>
      <c r="B768" t="s">
        <v>1092</v>
      </c>
      <c r="C768" t="s">
        <v>2836</v>
      </c>
      <c r="D768" t="s">
        <v>2780</v>
      </c>
      <c r="E768" t="s">
        <v>2818</v>
      </c>
      <c r="F768" t="str">
        <f>"114/307"</f>
        <v>114/307</v>
      </c>
      <c r="G768" t="s">
        <v>1093</v>
      </c>
      <c r="H768" t="s">
        <v>1094</v>
      </c>
      <c r="I768">
        <v>30.7</v>
      </c>
    </row>
    <row r="769" spans="1:9" ht="12.75">
      <c r="A769">
        <v>764</v>
      </c>
      <c r="B769" t="s">
        <v>1095</v>
      </c>
      <c r="C769" t="s">
        <v>2861</v>
      </c>
      <c r="D769" t="s">
        <v>2780</v>
      </c>
      <c r="E769" t="s">
        <v>2823</v>
      </c>
      <c r="F769" t="str">
        <f>"271/504"</f>
        <v>271/504</v>
      </c>
      <c r="G769" t="s">
        <v>369</v>
      </c>
      <c r="H769" t="s">
        <v>1096</v>
      </c>
      <c r="I769">
        <v>30.7</v>
      </c>
    </row>
    <row r="770" spans="1:9" ht="12.75">
      <c r="A770">
        <v>765</v>
      </c>
      <c r="B770" t="s">
        <v>890</v>
      </c>
      <c r="C770" t="s">
        <v>1097</v>
      </c>
      <c r="D770" t="s">
        <v>3031</v>
      </c>
      <c r="E770" t="s">
        <v>3209</v>
      </c>
      <c r="F770" t="str">
        <f>"7/62"</f>
        <v>7/62</v>
      </c>
      <c r="G770" t="s">
        <v>1016</v>
      </c>
      <c r="H770" t="s">
        <v>1098</v>
      </c>
      <c r="I770">
        <v>30.7</v>
      </c>
    </row>
    <row r="771" spans="1:9" ht="12.75">
      <c r="A771">
        <v>766</v>
      </c>
      <c r="B771" t="s">
        <v>1099</v>
      </c>
      <c r="C771" t="s">
        <v>3417</v>
      </c>
      <c r="D771" t="s">
        <v>2780</v>
      </c>
      <c r="E771" t="s">
        <v>2818</v>
      </c>
      <c r="F771" t="str">
        <f>"115/307"</f>
        <v>115/307</v>
      </c>
      <c r="G771" t="s">
        <v>2804</v>
      </c>
      <c r="H771" t="s">
        <v>1100</v>
      </c>
      <c r="I771">
        <v>30.7</v>
      </c>
    </row>
    <row r="772" spans="1:9" ht="12.75">
      <c r="A772">
        <v>767</v>
      </c>
      <c r="B772" t="s">
        <v>1101</v>
      </c>
      <c r="C772" t="s">
        <v>3464</v>
      </c>
      <c r="D772" t="s">
        <v>2780</v>
      </c>
      <c r="E772" t="s">
        <v>2823</v>
      </c>
      <c r="F772" t="str">
        <f>"272/504"</f>
        <v>272/504</v>
      </c>
      <c r="G772" t="s">
        <v>661</v>
      </c>
      <c r="H772" t="s">
        <v>1102</v>
      </c>
      <c r="I772">
        <v>30.7</v>
      </c>
    </row>
    <row r="773" spans="1:9" ht="12.75">
      <c r="A773">
        <v>768</v>
      </c>
      <c r="B773" t="s">
        <v>1103</v>
      </c>
      <c r="C773" t="s">
        <v>191</v>
      </c>
      <c r="D773" t="s">
        <v>2780</v>
      </c>
      <c r="E773" t="s">
        <v>2973</v>
      </c>
      <c r="F773" t="str">
        <f>"42/167"</f>
        <v>42/167</v>
      </c>
      <c r="G773" t="s">
        <v>1104</v>
      </c>
      <c r="H773" t="s">
        <v>1105</v>
      </c>
      <c r="I773">
        <v>30.7</v>
      </c>
    </row>
    <row r="774" spans="1:9" ht="12.75">
      <c r="A774">
        <v>769</v>
      </c>
      <c r="B774" t="s">
        <v>1101</v>
      </c>
      <c r="C774" t="s">
        <v>2857</v>
      </c>
      <c r="D774" t="s">
        <v>2780</v>
      </c>
      <c r="E774" t="s">
        <v>2823</v>
      </c>
      <c r="F774" t="str">
        <f>"273/504"</f>
        <v>273/504</v>
      </c>
      <c r="G774" t="s">
        <v>661</v>
      </c>
      <c r="H774" t="s">
        <v>1106</v>
      </c>
      <c r="I774">
        <v>30.69</v>
      </c>
    </row>
    <row r="775" spans="1:9" ht="12.75">
      <c r="A775">
        <v>770</v>
      </c>
      <c r="B775" t="s">
        <v>1107</v>
      </c>
      <c r="C775" t="s">
        <v>2857</v>
      </c>
      <c r="D775" t="s">
        <v>2780</v>
      </c>
      <c r="E775" t="s">
        <v>2823</v>
      </c>
      <c r="F775" t="str">
        <f>"274/504"</f>
        <v>274/504</v>
      </c>
      <c r="G775" t="s">
        <v>3289</v>
      </c>
      <c r="H775" t="s">
        <v>1108</v>
      </c>
      <c r="I775">
        <v>30.68</v>
      </c>
    </row>
    <row r="776" spans="1:9" ht="12.75">
      <c r="A776">
        <v>771</v>
      </c>
      <c r="B776" t="s">
        <v>1109</v>
      </c>
      <c r="C776" t="s">
        <v>2826</v>
      </c>
      <c r="D776" t="s">
        <v>2780</v>
      </c>
      <c r="E776" t="s">
        <v>2781</v>
      </c>
      <c r="F776" t="str">
        <f>"198/329"</f>
        <v>198/329</v>
      </c>
      <c r="G776" t="s">
        <v>1110</v>
      </c>
      <c r="H776" t="s">
        <v>1111</v>
      </c>
      <c r="I776">
        <v>30.67</v>
      </c>
    </row>
    <row r="777" spans="1:9" ht="12.75">
      <c r="A777">
        <v>772</v>
      </c>
      <c r="B777" t="s">
        <v>1112</v>
      </c>
      <c r="C777" t="s">
        <v>2963</v>
      </c>
      <c r="D777" t="s">
        <v>2780</v>
      </c>
      <c r="E777" t="s">
        <v>2823</v>
      </c>
      <c r="F777" t="str">
        <f>"275/504"</f>
        <v>275/504</v>
      </c>
      <c r="G777" t="s">
        <v>2889</v>
      </c>
      <c r="H777" t="s">
        <v>1113</v>
      </c>
      <c r="I777">
        <v>30.67</v>
      </c>
    </row>
    <row r="778" spans="1:9" ht="12.75">
      <c r="A778">
        <v>773</v>
      </c>
      <c r="B778" t="s">
        <v>1114</v>
      </c>
      <c r="C778" t="s">
        <v>2840</v>
      </c>
      <c r="D778" t="s">
        <v>2780</v>
      </c>
      <c r="E778" t="s">
        <v>2823</v>
      </c>
      <c r="F778" t="str">
        <f>"276/504"</f>
        <v>276/504</v>
      </c>
      <c r="G778" t="s">
        <v>3261</v>
      </c>
      <c r="H778" t="s">
        <v>1115</v>
      </c>
      <c r="I778">
        <v>30.66</v>
      </c>
    </row>
    <row r="779" spans="1:9" ht="12.75">
      <c r="A779">
        <v>774</v>
      </c>
      <c r="B779" t="s">
        <v>1116</v>
      </c>
      <c r="C779" t="s">
        <v>2865</v>
      </c>
      <c r="D779" t="s">
        <v>2780</v>
      </c>
      <c r="E779" t="s">
        <v>2823</v>
      </c>
      <c r="F779" t="str">
        <f>"277/504"</f>
        <v>277/504</v>
      </c>
      <c r="G779" t="s">
        <v>1117</v>
      </c>
      <c r="H779" t="s">
        <v>1118</v>
      </c>
      <c r="I779">
        <v>30.66</v>
      </c>
    </row>
    <row r="780" spans="1:9" ht="12.75">
      <c r="A780">
        <v>775</v>
      </c>
      <c r="B780" t="s">
        <v>1119</v>
      </c>
      <c r="C780" t="s">
        <v>2931</v>
      </c>
      <c r="D780" t="s">
        <v>2780</v>
      </c>
      <c r="E780" t="s">
        <v>2818</v>
      </c>
      <c r="F780" t="str">
        <f>"116/307"</f>
        <v>116/307</v>
      </c>
      <c r="G780" t="s">
        <v>1045</v>
      </c>
      <c r="H780" t="s">
        <v>1120</v>
      </c>
      <c r="I780">
        <v>30.65</v>
      </c>
    </row>
    <row r="781" spans="1:9" ht="12.75">
      <c r="A781">
        <v>776</v>
      </c>
      <c r="B781" t="s">
        <v>1121</v>
      </c>
      <c r="C781" t="s">
        <v>3417</v>
      </c>
      <c r="D781" t="s">
        <v>2780</v>
      </c>
      <c r="E781" t="s">
        <v>2818</v>
      </c>
      <c r="F781" t="str">
        <f>"117/307"</f>
        <v>117/307</v>
      </c>
      <c r="G781" t="s">
        <v>425</v>
      </c>
      <c r="H781" t="s">
        <v>1122</v>
      </c>
      <c r="I781">
        <v>30.64</v>
      </c>
    </row>
    <row r="782" spans="1:9" ht="12.75">
      <c r="A782">
        <v>777</v>
      </c>
      <c r="B782" t="s">
        <v>1123</v>
      </c>
      <c r="C782" t="s">
        <v>1124</v>
      </c>
      <c r="D782" t="s">
        <v>2780</v>
      </c>
      <c r="E782" t="s">
        <v>2973</v>
      </c>
      <c r="F782" t="str">
        <f>"43/167"</f>
        <v>43/167</v>
      </c>
      <c r="G782" t="s">
        <v>1125</v>
      </c>
      <c r="H782" t="s">
        <v>1126</v>
      </c>
      <c r="I782">
        <v>30.63</v>
      </c>
    </row>
    <row r="783" spans="1:9" ht="12.75">
      <c r="A783">
        <v>778</v>
      </c>
      <c r="B783" t="s">
        <v>1127</v>
      </c>
      <c r="C783" t="s">
        <v>3655</v>
      </c>
      <c r="D783" t="s">
        <v>2780</v>
      </c>
      <c r="E783" t="s">
        <v>2781</v>
      </c>
      <c r="F783" t="str">
        <f>"199/329"</f>
        <v>199/329</v>
      </c>
      <c r="G783" t="s">
        <v>3206</v>
      </c>
      <c r="H783" t="s">
        <v>1126</v>
      </c>
      <c r="I783">
        <v>30.63</v>
      </c>
    </row>
    <row r="784" spans="1:9" ht="12.75">
      <c r="A784">
        <v>779</v>
      </c>
      <c r="B784" t="s">
        <v>1128</v>
      </c>
      <c r="C784" t="s">
        <v>1129</v>
      </c>
      <c r="D784" t="s">
        <v>3031</v>
      </c>
      <c r="E784" t="s">
        <v>3032</v>
      </c>
      <c r="F784" t="str">
        <f>"20/54"</f>
        <v>20/54</v>
      </c>
      <c r="G784" t="s">
        <v>1130</v>
      </c>
      <c r="H784" t="s">
        <v>1131</v>
      </c>
      <c r="I784">
        <v>30.6</v>
      </c>
    </row>
    <row r="785" spans="1:9" ht="12.75">
      <c r="A785">
        <v>780</v>
      </c>
      <c r="B785" t="s">
        <v>1132</v>
      </c>
      <c r="C785" t="s">
        <v>2991</v>
      </c>
      <c r="D785" t="s">
        <v>2780</v>
      </c>
      <c r="E785" t="s">
        <v>2799</v>
      </c>
      <c r="F785" t="str">
        <f>"59/99"</f>
        <v>59/99</v>
      </c>
      <c r="G785" t="s">
        <v>59</v>
      </c>
      <c r="H785" t="s">
        <v>1133</v>
      </c>
      <c r="I785">
        <v>30.6</v>
      </c>
    </row>
    <row r="786" spans="1:9" ht="12.75">
      <c r="A786">
        <v>781</v>
      </c>
      <c r="B786" t="s">
        <v>1134</v>
      </c>
      <c r="C786" t="s">
        <v>3087</v>
      </c>
      <c r="D786" t="s">
        <v>2780</v>
      </c>
      <c r="E786" t="s">
        <v>2823</v>
      </c>
      <c r="F786" t="str">
        <f>"278/504"</f>
        <v>278/504</v>
      </c>
      <c r="G786" t="s">
        <v>1045</v>
      </c>
      <c r="H786" t="s">
        <v>1135</v>
      </c>
      <c r="I786">
        <v>30.6</v>
      </c>
    </row>
    <row r="787" spans="1:9" ht="12.75">
      <c r="A787">
        <v>782</v>
      </c>
      <c r="B787" t="s">
        <v>1128</v>
      </c>
      <c r="C787" t="s">
        <v>2931</v>
      </c>
      <c r="D787" t="s">
        <v>2780</v>
      </c>
      <c r="E787" t="s">
        <v>2818</v>
      </c>
      <c r="F787" t="str">
        <f>"118/307"</f>
        <v>118/307</v>
      </c>
      <c r="G787" t="s">
        <v>1014</v>
      </c>
      <c r="H787" t="s">
        <v>1136</v>
      </c>
      <c r="I787">
        <v>30.57</v>
      </c>
    </row>
    <row r="788" spans="1:9" ht="12.75">
      <c r="A788">
        <v>783</v>
      </c>
      <c r="B788" t="s">
        <v>1137</v>
      </c>
      <c r="C788" t="s">
        <v>1138</v>
      </c>
      <c r="D788" t="s">
        <v>2780</v>
      </c>
      <c r="E788" t="s">
        <v>2818</v>
      </c>
      <c r="F788" t="str">
        <f>"119/307"</f>
        <v>119/307</v>
      </c>
      <c r="G788" t="s">
        <v>1139</v>
      </c>
      <c r="H788" t="s">
        <v>1140</v>
      </c>
      <c r="I788">
        <v>30.57</v>
      </c>
    </row>
    <row r="789" spans="1:9" ht="12.75">
      <c r="A789">
        <v>784</v>
      </c>
      <c r="B789" t="s">
        <v>1141</v>
      </c>
      <c r="C789" t="s">
        <v>2807</v>
      </c>
      <c r="D789" t="s">
        <v>2780</v>
      </c>
      <c r="E789" t="s">
        <v>2786</v>
      </c>
      <c r="F789" t="str">
        <f>"43/58"</f>
        <v>43/58</v>
      </c>
      <c r="G789" t="s">
        <v>268</v>
      </c>
      <c r="H789" t="s">
        <v>1140</v>
      </c>
      <c r="I789">
        <v>30.57</v>
      </c>
    </row>
    <row r="790" spans="1:9" ht="12.75">
      <c r="A790">
        <v>785</v>
      </c>
      <c r="B790" t="s">
        <v>1142</v>
      </c>
      <c r="C790" t="s">
        <v>2865</v>
      </c>
      <c r="D790" t="s">
        <v>2780</v>
      </c>
      <c r="E790" t="s">
        <v>2823</v>
      </c>
      <c r="F790" t="str">
        <f>"279/504"</f>
        <v>279/504</v>
      </c>
      <c r="G790" t="s">
        <v>3014</v>
      </c>
      <c r="H790" t="s">
        <v>1143</v>
      </c>
      <c r="I790">
        <v>30.56</v>
      </c>
    </row>
    <row r="791" spans="1:9" ht="12.75">
      <c r="A791">
        <v>786</v>
      </c>
      <c r="B791" t="s">
        <v>1144</v>
      </c>
      <c r="C791" t="s">
        <v>2914</v>
      </c>
      <c r="D791" t="s">
        <v>2780</v>
      </c>
      <c r="E791" t="s">
        <v>2781</v>
      </c>
      <c r="F791" t="str">
        <f>"200/329"</f>
        <v>200/329</v>
      </c>
      <c r="G791" t="s">
        <v>1145</v>
      </c>
      <c r="H791" t="s">
        <v>1146</v>
      </c>
      <c r="I791">
        <v>30.55</v>
      </c>
    </row>
    <row r="792" spans="1:9" ht="12.75">
      <c r="A792">
        <v>787</v>
      </c>
      <c r="B792" t="s">
        <v>3191</v>
      </c>
      <c r="C792" t="s">
        <v>2906</v>
      </c>
      <c r="D792" t="s">
        <v>2780</v>
      </c>
      <c r="E792" t="s">
        <v>2823</v>
      </c>
      <c r="F792" t="str">
        <f>"280/504"</f>
        <v>280/504</v>
      </c>
      <c r="G792" t="s">
        <v>572</v>
      </c>
      <c r="H792" t="s">
        <v>1147</v>
      </c>
      <c r="I792">
        <v>30.55</v>
      </c>
    </row>
    <row r="793" spans="1:9" ht="12.75">
      <c r="A793">
        <v>788</v>
      </c>
      <c r="B793" t="s">
        <v>1148</v>
      </c>
      <c r="C793" t="s">
        <v>1149</v>
      </c>
      <c r="D793" t="s">
        <v>3031</v>
      </c>
      <c r="E793" t="s">
        <v>3032</v>
      </c>
      <c r="F793" t="str">
        <f>"21/54"</f>
        <v>21/54</v>
      </c>
      <c r="G793" t="s">
        <v>1150</v>
      </c>
      <c r="H793" t="s">
        <v>1151</v>
      </c>
      <c r="I793">
        <v>30.55</v>
      </c>
    </row>
    <row r="794" spans="1:9" ht="12.75">
      <c r="A794">
        <v>789</v>
      </c>
      <c r="B794" t="s">
        <v>1152</v>
      </c>
      <c r="C794" t="s">
        <v>2807</v>
      </c>
      <c r="D794" t="s">
        <v>2780</v>
      </c>
      <c r="E794" t="s">
        <v>2823</v>
      </c>
      <c r="F794" t="str">
        <f>"281/504"</f>
        <v>281/504</v>
      </c>
      <c r="G794" t="s">
        <v>1150</v>
      </c>
      <c r="H794" t="s">
        <v>1153</v>
      </c>
      <c r="I794">
        <v>30.54</v>
      </c>
    </row>
    <row r="795" spans="1:9" ht="12.75">
      <c r="A795">
        <v>790</v>
      </c>
      <c r="B795" t="s">
        <v>1154</v>
      </c>
      <c r="C795" t="s">
        <v>1155</v>
      </c>
      <c r="D795" t="s">
        <v>2780</v>
      </c>
      <c r="E795" t="s">
        <v>2781</v>
      </c>
      <c r="F795" t="str">
        <f>"201/329"</f>
        <v>201/329</v>
      </c>
      <c r="G795" t="s">
        <v>572</v>
      </c>
      <c r="H795" t="s">
        <v>1156</v>
      </c>
      <c r="I795">
        <v>30.54</v>
      </c>
    </row>
    <row r="796" spans="1:9" ht="12.75">
      <c r="A796">
        <v>791</v>
      </c>
      <c r="B796" t="s">
        <v>1157</v>
      </c>
      <c r="C796" t="s">
        <v>43</v>
      </c>
      <c r="D796" t="s">
        <v>2780</v>
      </c>
      <c r="E796" t="s">
        <v>2818</v>
      </c>
      <c r="F796" t="str">
        <f>"120/307"</f>
        <v>120/307</v>
      </c>
      <c r="G796" t="s">
        <v>225</v>
      </c>
      <c r="H796" t="s">
        <v>1158</v>
      </c>
      <c r="I796">
        <v>30.54</v>
      </c>
    </row>
    <row r="797" spans="1:9" ht="12.75">
      <c r="A797">
        <v>792</v>
      </c>
      <c r="B797" t="s">
        <v>1159</v>
      </c>
      <c r="C797" t="s">
        <v>1160</v>
      </c>
      <c r="D797" t="s">
        <v>2780</v>
      </c>
      <c r="E797" t="s">
        <v>2973</v>
      </c>
      <c r="F797" t="str">
        <f>"44/167"</f>
        <v>44/167</v>
      </c>
      <c r="G797" t="s">
        <v>795</v>
      </c>
      <c r="H797" t="s">
        <v>1161</v>
      </c>
      <c r="I797">
        <v>30.53</v>
      </c>
    </row>
    <row r="798" spans="1:9" ht="12.75">
      <c r="A798">
        <v>793</v>
      </c>
      <c r="B798" t="s">
        <v>1162</v>
      </c>
      <c r="C798" t="s">
        <v>3008</v>
      </c>
      <c r="D798" t="s">
        <v>2780</v>
      </c>
      <c r="E798" t="s">
        <v>2781</v>
      </c>
      <c r="F798" t="str">
        <f>"202/329"</f>
        <v>202/329</v>
      </c>
      <c r="G798" t="s">
        <v>350</v>
      </c>
      <c r="H798" t="s">
        <v>1163</v>
      </c>
      <c r="I798">
        <v>30.52</v>
      </c>
    </row>
    <row r="799" spans="1:9" ht="12.75">
      <c r="A799">
        <v>794</v>
      </c>
      <c r="B799" t="s">
        <v>1164</v>
      </c>
      <c r="C799" t="s">
        <v>2817</v>
      </c>
      <c r="D799" t="s">
        <v>2780</v>
      </c>
      <c r="E799" t="s">
        <v>2818</v>
      </c>
      <c r="F799" t="str">
        <f>"121/307"</f>
        <v>121/307</v>
      </c>
      <c r="G799" t="s">
        <v>171</v>
      </c>
      <c r="H799" t="s">
        <v>1165</v>
      </c>
      <c r="I799">
        <v>30.52</v>
      </c>
    </row>
    <row r="800" spans="1:9" ht="12.75">
      <c r="A800">
        <v>795</v>
      </c>
      <c r="B800" t="s">
        <v>1166</v>
      </c>
      <c r="C800" t="s">
        <v>3102</v>
      </c>
      <c r="D800" t="s">
        <v>2780</v>
      </c>
      <c r="E800" t="s">
        <v>3209</v>
      </c>
      <c r="F800" t="str">
        <f>"8/62"</f>
        <v>8/62</v>
      </c>
      <c r="G800" t="s">
        <v>3088</v>
      </c>
      <c r="H800" t="s">
        <v>1167</v>
      </c>
      <c r="I800">
        <v>30.5</v>
      </c>
    </row>
    <row r="801" spans="1:9" ht="12.75">
      <c r="A801">
        <v>796</v>
      </c>
      <c r="B801" t="s">
        <v>1168</v>
      </c>
      <c r="C801" t="s">
        <v>2931</v>
      </c>
      <c r="D801" t="s">
        <v>2780</v>
      </c>
      <c r="E801" t="s">
        <v>2818</v>
      </c>
      <c r="F801" t="str">
        <f>"122/307"</f>
        <v>122/307</v>
      </c>
      <c r="G801" t="s">
        <v>1016</v>
      </c>
      <c r="H801" t="s">
        <v>1169</v>
      </c>
      <c r="I801">
        <v>30.48</v>
      </c>
    </row>
    <row r="802" spans="1:9" ht="12.75">
      <c r="A802">
        <v>797</v>
      </c>
      <c r="B802" t="s">
        <v>1170</v>
      </c>
      <c r="C802" t="s">
        <v>2807</v>
      </c>
      <c r="D802" t="s">
        <v>2780</v>
      </c>
      <c r="E802" t="s">
        <v>2781</v>
      </c>
      <c r="F802" t="str">
        <f>"203/329"</f>
        <v>203/329</v>
      </c>
      <c r="G802" t="s">
        <v>3252</v>
      </c>
      <c r="H802" t="s">
        <v>1171</v>
      </c>
      <c r="I802">
        <v>30.47</v>
      </c>
    </row>
    <row r="803" spans="1:9" ht="12.75">
      <c r="A803">
        <v>798</v>
      </c>
      <c r="B803" t="s">
        <v>1172</v>
      </c>
      <c r="C803" t="s">
        <v>3164</v>
      </c>
      <c r="D803" t="s">
        <v>2780</v>
      </c>
      <c r="E803" t="s">
        <v>2823</v>
      </c>
      <c r="F803" t="str">
        <f>"282/504"</f>
        <v>282/504</v>
      </c>
      <c r="G803" t="s">
        <v>2974</v>
      </c>
      <c r="H803" t="s">
        <v>1171</v>
      </c>
      <c r="I803">
        <v>30.47</v>
      </c>
    </row>
    <row r="804" spans="1:9" ht="12.75">
      <c r="A804">
        <v>799</v>
      </c>
      <c r="B804" t="s">
        <v>3474</v>
      </c>
      <c r="C804" t="s">
        <v>3455</v>
      </c>
      <c r="D804" t="s">
        <v>3031</v>
      </c>
      <c r="E804" t="s">
        <v>3032</v>
      </c>
      <c r="F804" t="str">
        <f>"22/54"</f>
        <v>22/54</v>
      </c>
      <c r="G804" t="s">
        <v>59</v>
      </c>
      <c r="H804" t="s">
        <v>1173</v>
      </c>
      <c r="I804">
        <v>30.44</v>
      </c>
    </row>
    <row r="805" spans="1:9" ht="12.75">
      <c r="A805">
        <v>800</v>
      </c>
      <c r="B805" t="s">
        <v>1174</v>
      </c>
      <c r="C805" t="s">
        <v>2942</v>
      </c>
      <c r="D805" t="s">
        <v>2780</v>
      </c>
      <c r="E805" t="s">
        <v>2818</v>
      </c>
      <c r="F805" t="str">
        <f>"123/307"</f>
        <v>123/307</v>
      </c>
      <c r="G805" t="s">
        <v>3555</v>
      </c>
      <c r="H805" t="s">
        <v>1175</v>
      </c>
      <c r="I805">
        <v>30.44</v>
      </c>
    </row>
    <row r="806" spans="1:9" ht="12.75">
      <c r="A806">
        <v>801</v>
      </c>
      <c r="B806" t="s">
        <v>1176</v>
      </c>
      <c r="C806" t="s">
        <v>2840</v>
      </c>
      <c r="D806" t="s">
        <v>2780</v>
      </c>
      <c r="E806" t="s">
        <v>2781</v>
      </c>
      <c r="F806" t="str">
        <f>"204/329"</f>
        <v>204/329</v>
      </c>
      <c r="G806" t="s">
        <v>1177</v>
      </c>
      <c r="H806" t="s">
        <v>1178</v>
      </c>
      <c r="I806">
        <v>30.44</v>
      </c>
    </row>
    <row r="807" spans="1:9" ht="12.75">
      <c r="A807">
        <v>802</v>
      </c>
      <c r="B807" t="s">
        <v>1179</v>
      </c>
      <c r="C807" t="s">
        <v>2861</v>
      </c>
      <c r="D807" t="s">
        <v>2780</v>
      </c>
      <c r="E807" t="s">
        <v>2823</v>
      </c>
      <c r="F807" t="str">
        <f>"283/504"</f>
        <v>283/504</v>
      </c>
      <c r="G807" t="s">
        <v>3495</v>
      </c>
      <c r="H807" t="s">
        <v>1180</v>
      </c>
      <c r="I807">
        <v>30.43</v>
      </c>
    </row>
    <row r="808" spans="1:9" ht="12.75">
      <c r="A808">
        <v>803</v>
      </c>
      <c r="B808" t="s">
        <v>1181</v>
      </c>
      <c r="C808" t="s">
        <v>3346</v>
      </c>
      <c r="D808" t="s">
        <v>2780</v>
      </c>
      <c r="E808" t="s">
        <v>2818</v>
      </c>
      <c r="F808" t="str">
        <f>"124/307"</f>
        <v>124/307</v>
      </c>
      <c r="G808" t="s">
        <v>1182</v>
      </c>
      <c r="H808" t="s">
        <v>1183</v>
      </c>
      <c r="I808">
        <v>30.43</v>
      </c>
    </row>
    <row r="809" spans="1:9" ht="12.75">
      <c r="A809">
        <v>804</v>
      </c>
      <c r="B809" t="s">
        <v>1184</v>
      </c>
      <c r="C809" t="s">
        <v>2836</v>
      </c>
      <c r="D809" t="s">
        <v>2780</v>
      </c>
      <c r="E809" t="s">
        <v>2781</v>
      </c>
      <c r="F809" t="str">
        <f>"205/329"</f>
        <v>205/329</v>
      </c>
      <c r="G809" t="s">
        <v>2804</v>
      </c>
      <c r="H809" t="s">
        <v>1185</v>
      </c>
      <c r="I809">
        <v>30.42</v>
      </c>
    </row>
    <row r="810" spans="1:9" ht="12.75">
      <c r="A810">
        <v>805</v>
      </c>
      <c r="B810" t="s">
        <v>1186</v>
      </c>
      <c r="C810" t="s">
        <v>39</v>
      </c>
      <c r="D810" t="s">
        <v>2780</v>
      </c>
      <c r="E810" t="s">
        <v>2799</v>
      </c>
      <c r="F810" t="str">
        <f>"60/99"</f>
        <v>60/99</v>
      </c>
      <c r="G810" t="s">
        <v>1187</v>
      </c>
      <c r="H810" t="s">
        <v>1188</v>
      </c>
      <c r="I810">
        <v>30.41</v>
      </c>
    </row>
    <row r="811" spans="1:9" ht="12.75">
      <c r="A811">
        <v>806</v>
      </c>
      <c r="B811" t="s">
        <v>1189</v>
      </c>
      <c r="C811" t="s">
        <v>3038</v>
      </c>
      <c r="D811" t="s">
        <v>2780</v>
      </c>
      <c r="E811" t="s">
        <v>2823</v>
      </c>
      <c r="F811" t="str">
        <f>"284/504"</f>
        <v>284/504</v>
      </c>
      <c r="G811" t="s">
        <v>2969</v>
      </c>
      <c r="H811" t="s">
        <v>1190</v>
      </c>
      <c r="I811">
        <v>30.41</v>
      </c>
    </row>
    <row r="812" spans="1:9" ht="12.75">
      <c r="A812">
        <v>807</v>
      </c>
      <c r="B812" t="s">
        <v>808</v>
      </c>
      <c r="C812" t="s">
        <v>2868</v>
      </c>
      <c r="D812" t="s">
        <v>2780</v>
      </c>
      <c r="E812" t="s">
        <v>2781</v>
      </c>
      <c r="F812" t="str">
        <f>"206/329"</f>
        <v>206/329</v>
      </c>
      <c r="G812" t="s">
        <v>1075</v>
      </c>
      <c r="H812" t="s">
        <v>1191</v>
      </c>
      <c r="I812">
        <v>30.41</v>
      </c>
    </row>
    <row r="813" spans="1:9" ht="12.75">
      <c r="A813">
        <v>808</v>
      </c>
      <c r="B813" t="s">
        <v>1192</v>
      </c>
      <c r="C813" t="s">
        <v>3098</v>
      </c>
      <c r="D813" t="s">
        <v>2780</v>
      </c>
      <c r="E813" t="s">
        <v>2781</v>
      </c>
      <c r="F813" t="str">
        <f>"207/329"</f>
        <v>207/329</v>
      </c>
      <c r="G813" t="s">
        <v>3412</v>
      </c>
      <c r="H813" t="s">
        <v>1193</v>
      </c>
      <c r="I813">
        <v>30.41</v>
      </c>
    </row>
    <row r="814" spans="1:9" ht="12.75">
      <c r="A814">
        <v>809</v>
      </c>
      <c r="B814" t="s">
        <v>1194</v>
      </c>
      <c r="C814" t="s">
        <v>3201</v>
      </c>
      <c r="D814" t="s">
        <v>2780</v>
      </c>
      <c r="E814" t="s">
        <v>2781</v>
      </c>
      <c r="F814" t="str">
        <f>"208/329"</f>
        <v>208/329</v>
      </c>
      <c r="G814" t="s">
        <v>3412</v>
      </c>
      <c r="H814" t="s">
        <v>1195</v>
      </c>
      <c r="I814">
        <v>30.41</v>
      </c>
    </row>
    <row r="815" spans="1:9" ht="12.75">
      <c r="A815">
        <v>810</v>
      </c>
      <c r="B815" t="s">
        <v>1196</v>
      </c>
      <c r="C815" t="s">
        <v>330</v>
      </c>
      <c r="D815" t="s">
        <v>3031</v>
      </c>
      <c r="E815" t="s">
        <v>3244</v>
      </c>
      <c r="F815" t="str">
        <f>"11/63"</f>
        <v>11/63</v>
      </c>
      <c r="G815" t="s">
        <v>1197</v>
      </c>
      <c r="H815" t="s">
        <v>1198</v>
      </c>
      <c r="I815">
        <v>30.4</v>
      </c>
    </row>
    <row r="816" spans="1:9" ht="12.75">
      <c r="A816">
        <v>811</v>
      </c>
      <c r="B816" t="s">
        <v>565</v>
      </c>
      <c r="C816" t="s">
        <v>2997</v>
      </c>
      <c r="D816" t="s">
        <v>2780</v>
      </c>
      <c r="E816" t="s">
        <v>2818</v>
      </c>
      <c r="F816" t="str">
        <f>"125/307"</f>
        <v>125/307</v>
      </c>
      <c r="G816" t="s">
        <v>566</v>
      </c>
      <c r="H816" t="s">
        <v>1199</v>
      </c>
      <c r="I816">
        <v>30.39</v>
      </c>
    </row>
    <row r="817" spans="1:9" ht="12.75">
      <c r="A817">
        <v>812</v>
      </c>
      <c r="B817" t="s">
        <v>1200</v>
      </c>
      <c r="C817" t="s">
        <v>1201</v>
      </c>
      <c r="D817" t="s">
        <v>3031</v>
      </c>
      <c r="E817" t="s">
        <v>3032</v>
      </c>
      <c r="F817" t="str">
        <f>"23/54"</f>
        <v>23/54</v>
      </c>
      <c r="G817" t="s">
        <v>3206</v>
      </c>
      <c r="H817" t="s">
        <v>1202</v>
      </c>
      <c r="I817">
        <v>30.39</v>
      </c>
    </row>
    <row r="818" spans="1:9" ht="12.75">
      <c r="A818">
        <v>813</v>
      </c>
      <c r="B818" t="s">
        <v>1203</v>
      </c>
      <c r="C818" t="s">
        <v>1204</v>
      </c>
      <c r="D818" t="s">
        <v>2780</v>
      </c>
      <c r="E818" t="s">
        <v>2823</v>
      </c>
      <c r="F818" t="str">
        <f>"285/504"</f>
        <v>285/504</v>
      </c>
      <c r="G818" t="s">
        <v>1042</v>
      </c>
      <c r="H818" t="s">
        <v>1205</v>
      </c>
      <c r="I818">
        <v>30.39</v>
      </c>
    </row>
    <row r="819" spans="1:9" ht="12.75">
      <c r="A819">
        <v>814</v>
      </c>
      <c r="B819" t="s">
        <v>267</v>
      </c>
      <c r="C819" t="s">
        <v>3633</v>
      </c>
      <c r="D819" t="s">
        <v>2780</v>
      </c>
      <c r="E819" t="s">
        <v>2781</v>
      </c>
      <c r="F819" t="str">
        <f>"209/329"</f>
        <v>209/329</v>
      </c>
      <c r="G819" t="s">
        <v>3289</v>
      </c>
      <c r="H819" t="s">
        <v>1206</v>
      </c>
      <c r="I819">
        <v>30.39</v>
      </c>
    </row>
    <row r="820" spans="1:9" ht="12.75">
      <c r="A820">
        <v>815</v>
      </c>
      <c r="B820" t="s">
        <v>3105</v>
      </c>
      <c r="C820" t="s">
        <v>195</v>
      </c>
      <c r="D820" t="s">
        <v>2780</v>
      </c>
      <c r="E820" t="s">
        <v>2823</v>
      </c>
      <c r="F820" t="str">
        <f>"286/504"</f>
        <v>286/504</v>
      </c>
      <c r="G820" t="s">
        <v>2889</v>
      </c>
      <c r="H820" t="s">
        <v>1206</v>
      </c>
      <c r="I820">
        <v>30.39</v>
      </c>
    </row>
    <row r="821" spans="1:9" ht="12.75">
      <c r="A821">
        <v>816</v>
      </c>
      <c r="B821" t="s">
        <v>433</v>
      </c>
      <c r="C821" t="s">
        <v>2814</v>
      </c>
      <c r="D821" t="s">
        <v>2780</v>
      </c>
      <c r="E821" t="s">
        <v>2786</v>
      </c>
      <c r="F821" t="str">
        <f>"44/58"</f>
        <v>44/58</v>
      </c>
      <c r="G821" t="s">
        <v>3252</v>
      </c>
      <c r="H821" t="s">
        <v>1207</v>
      </c>
      <c r="I821">
        <v>30.38</v>
      </c>
    </row>
    <row r="822" spans="1:9" ht="12.75">
      <c r="A822">
        <v>817</v>
      </c>
      <c r="B822" t="s">
        <v>1208</v>
      </c>
      <c r="C822" t="s">
        <v>3286</v>
      </c>
      <c r="D822" t="s">
        <v>2780</v>
      </c>
      <c r="E822" t="s">
        <v>2823</v>
      </c>
      <c r="F822" t="str">
        <f>"287/504"</f>
        <v>287/504</v>
      </c>
      <c r="G822" t="s">
        <v>4874</v>
      </c>
      <c r="H822" t="s">
        <v>4875</v>
      </c>
      <c r="I822">
        <v>30.37</v>
      </c>
    </row>
    <row r="823" spans="1:9" ht="12.75">
      <c r="A823">
        <v>818</v>
      </c>
      <c r="B823" t="s">
        <v>3105</v>
      </c>
      <c r="C823" t="s">
        <v>2861</v>
      </c>
      <c r="D823" t="s">
        <v>2780</v>
      </c>
      <c r="E823" t="s">
        <v>2823</v>
      </c>
      <c r="F823" t="str">
        <f>"288/504"</f>
        <v>288/504</v>
      </c>
      <c r="G823" t="s">
        <v>3252</v>
      </c>
      <c r="H823" t="s">
        <v>4876</v>
      </c>
      <c r="I823">
        <v>30.37</v>
      </c>
    </row>
    <row r="824" spans="1:9" ht="12.75">
      <c r="A824">
        <v>819</v>
      </c>
      <c r="B824" t="s">
        <v>4877</v>
      </c>
      <c r="C824" t="s">
        <v>696</v>
      </c>
      <c r="D824" t="s">
        <v>2780</v>
      </c>
      <c r="E824" t="s">
        <v>2818</v>
      </c>
      <c r="F824" t="str">
        <f>"126/307"</f>
        <v>126/307</v>
      </c>
      <c r="G824" t="s">
        <v>3067</v>
      </c>
      <c r="H824" t="s">
        <v>4878</v>
      </c>
      <c r="I824">
        <v>30.37</v>
      </c>
    </row>
    <row r="825" spans="1:9" ht="12.75">
      <c r="A825">
        <v>820</v>
      </c>
      <c r="B825" t="s">
        <v>3054</v>
      </c>
      <c r="C825" t="s">
        <v>2830</v>
      </c>
      <c r="D825" t="s">
        <v>2780</v>
      </c>
      <c r="E825" t="s">
        <v>2823</v>
      </c>
      <c r="F825" t="str">
        <f>"289/504"</f>
        <v>289/504</v>
      </c>
      <c r="G825" t="s">
        <v>1187</v>
      </c>
      <c r="H825" t="s">
        <v>4879</v>
      </c>
      <c r="I825">
        <v>30.36</v>
      </c>
    </row>
    <row r="826" spans="1:9" ht="12.75">
      <c r="A826">
        <v>821</v>
      </c>
      <c r="B826" t="s">
        <v>3340</v>
      </c>
      <c r="C826" t="s">
        <v>504</v>
      </c>
      <c r="D826" t="s">
        <v>2780</v>
      </c>
      <c r="E826" t="s">
        <v>2823</v>
      </c>
      <c r="F826" t="str">
        <f>"290/504"</f>
        <v>290/504</v>
      </c>
      <c r="G826" t="s">
        <v>4880</v>
      </c>
      <c r="H826" t="s">
        <v>4881</v>
      </c>
      <c r="I826">
        <v>30.35</v>
      </c>
    </row>
    <row r="827" spans="1:9" ht="12.75">
      <c r="A827">
        <v>822</v>
      </c>
      <c r="B827" t="s">
        <v>3378</v>
      </c>
      <c r="C827" t="s">
        <v>2861</v>
      </c>
      <c r="D827" t="s">
        <v>2780</v>
      </c>
      <c r="E827" t="s">
        <v>2823</v>
      </c>
      <c r="F827" t="str">
        <f>"291/504"</f>
        <v>291/504</v>
      </c>
      <c r="G827" t="s">
        <v>4882</v>
      </c>
      <c r="H827" t="s">
        <v>4883</v>
      </c>
      <c r="I827">
        <v>30.33</v>
      </c>
    </row>
    <row r="828" spans="1:9" ht="12.75">
      <c r="A828">
        <v>823</v>
      </c>
      <c r="B828" t="s">
        <v>4884</v>
      </c>
      <c r="C828" t="s">
        <v>2895</v>
      </c>
      <c r="D828" t="s">
        <v>2780</v>
      </c>
      <c r="E828" t="s">
        <v>2823</v>
      </c>
      <c r="F828" t="str">
        <f>"292/504"</f>
        <v>292/504</v>
      </c>
      <c r="G828" t="s">
        <v>4885</v>
      </c>
      <c r="H828" t="s">
        <v>4886</v>
      </c>
      <c r="I828">
        <v>30.33</v>
      </c>
    </row>
    <row r="829" spans="1:9" ht="12.75">
      <c r="A829">
        <v>824</v>
      </c>
      <c r="B829" t="s">
        <v>4887</v>
      </c>
      <c r="C829" t="s">
        <v>401</v>
      </c>
      <c r="D829" t="s">
        <v>2780</v>
      </c>
      <c r="E829" t="s">
        <v>2781</v>
      </c>
      <c r="F829" t="str">
        <f>"210/329"</f>
        <v>210/329</v>
      </c>
      <c r="G829" t="s">
        <v>4888</v>
      </c>
      <c r="H829" t="s">
        <v>4889</v>
      </c>
      <c r="I829">
        <v>30.32</v>
      </c>
    </row>
    <row r="830" spans="1:9" ht="12.75">
      <c r="A830">
        <v>825</v>
      </c>
      <c r="B830" t="s">
        <v>4890</v>
      </c>
      <c r="C830" t="s">
        <v>2861</v>
      </c>
      <c r="D830" t="s">
        <v>2780</v>
      </c>
      <c r="E830" t="s">
        <v>2823</v>
      </c>
      <c r="F830" t="str">
        <f>"293/504"</f>
        <v>293/504</v>
      </c>
      <c r="G830" t="s">
        <v>4891</v>
      </c>
      <c r="H830" t="s">
        <v>4892</v>
      </c>
      <c r="I830">
        <v>30.32</v>
      </c>
    </row>
    <row r="831" spans="1:9" ht="12.75">
      <c r="A831">
        <v>826</v>
      </c>
      <c r="B831" t="s">
        <v>4893</v>
      </c>
      <c r="C831" t="s">
        <v>4894</v>
      </c>
      <c r="D831" t="s">
        <v>2780</v>
      </c>
      <c r="E831" t="s">
        <v>2823</v>
      </c>
      <c r="F831" t="str">
        <f>"294/504"</f>
        <v>294/504</v>
      </c>
      <c r="G831" t="s">
        <v>4895</v>
      </c>
      <c r="H831" t="s">
        <v>4896</v>
      </c>
      <c r="I831">
        <v>30.31</v>
      </c>
    </row>
    <row r="832" spans="1:9" ht="12.75">
      <c r="A832">
        <v>827</v>
      </c>
      <c r="B832" t="s">
        <v>1186</v>
      </c>
      <c r="C832" t="s">
        <v>3141</v>
      </c>
      <c r="D832" t="s">
        <v>2780</v>
      </c>
      <c r="E832" t="s">
        <v>2823</v>
      </c>
      <c r="F832" t="str">
        <f>"295/504"</f>
        <v>295/504</v>
      </c>
      <c r="G832" t="s">
        <v>1187</v>
      </c>
      <c r="H832" t="s">
        <v>4897</v>
      </c>
      <c r="I832">
        <v>30.3</v>
      </c>
    </row>
    <row r="833" spans="1:9" ht="12.75">
      <c r="A833">
        <v>828</v>
      </c>
      <c r="B833" t="s">
        <v>4898</v>
      </c>
      <c r="C833" t="s">
        <v>2785</v>
      </c>
      <c r="D833" t="s">
        <v>2780</v>
      </c>
      <c r="E833" t="s">
        <v>2781</v>
      </c>
      <c r="F833" t="str">
        <f>"211/329"</f>
        <v>211/329</v>
      </c>
      <c r="G833" t="s">
        <v>76</v>
      </c>
      <c r="H833" t="s">
        <v>4899</v>
      </c>
      <c r="I833">
        <v>30.29</v>
      </c>
    </row>
    <row r="834" spans="1:9" ht="12.75">
      <c r="A834">
        <v>829</v>
      </c>
      <c r="B834" t="s">
        <v>4900</v>
      </c>
      <c r="C834" t="s">
        <v>4901</v>
      </c>
      <c r="D834" t="s">
        <v>2780</v>
      </c>
      <c r="E834" t="s">
        <v>2781</v>
      </c>
      <c r="F834" t="str">
        <f>"212/329"</f>
        <v>212/329</v>
      </c>
      <c r="G834" t="s">
        <v>3555</v>
      </c>
      <c r="H834" t="s">
        <v>4902</v>
      </c>
      <c r="I834">
        <v>30.28</v>
      </c>
    </row>
    <row r="835" spans="1:9" ht="12.75">
      <c r="A835">
        <v>830</v>
      </c>
      <c r="B835" t="s">
        <v>4903</v>
      </c>
      <c r="C835" t="s">
        <v>4904</v>
      </c>
      <c r="D835" t="s">
        <v>2780</v>
      </c>
      <c r="E835" t="s">
        <v>2823</v>
      </c>
      <c r="F835" t="str">
        <f>"296/504"</f>
        <v>296/504</v>
      </c>
      <c r="G835" t="s">
        <v>2804</v>
      </c>
      <c r="H835" t="s">
        <v>4905</v>
      </c>
      <c r="I835">
        <v>30.28</v>
      </c>
    </row>
    <row r="836" spans="1:9" ht="12.75">
      <c r="A836">
        <v>831</v>
      </c>
      <c r="B836" t="s">
        <v>283</v>
      </c>
      <c r="C836" t="s">
        <v>4906</v>
      </c>
      <c r="D836" t="s">
        <v>2780</v>
      </c>
      <c r="E836" t="s">
        <v>2973</v>
      </c>
      <c r="F836" t="str">
        <f>"45/167"</f>
        <v>45/167</v>
      </c>
      <c r="G836" t="s">
        <v>2844</v>
      </c>
      <c r="H836" t="s">
        <v>4907</v>
      </c>
      <c r="I836">
        <v>30.27</v>
      </c>
    </row>
    <row r="837" spans="1:9" ht="12.75">
      <c r="A837">
        <v>832</v>
      </c>
      <c r="B837" t="s">
        <v>4908</v>
      </c>
      <c r="C837" t="s">
        <v>4894</v>
      </c>
      <c r="D837" t="s">
        <v>2780</v>
      </c>
      <c r="E837" t="s">
        <v>2818</v>
      </c>
      <c r="F837" t="str">
        <f>"127/307"</f>
        <v>127/307</v>
      </c>
      <c r="G837" t="s">
        <v>377</v>
      </c>
      <c r="H837" t="s">
        <v>4909</v>
      </c>
      <c r="I837">
        <v>30.26</v>
      </c>
    </row>
    <row r="838" spans="1:9" ht="12.75">
      <c r="A838">
        <v>833</v>
      </c>
      <c r="B838" t="s">
        <v>4910</v>
      </c>
      <c r="C838" t="s">
        <v>2861</v>
      </c>
      <c r="D838" t="s">
        <v>2780</v>
      </c>
      <c r="E838" t="s">
        <v>2823</v>
      </c>
      <c r="F838" t="str">
        <f>"297/504"</f>
        <v>297/504</v>
      </c>
      <c r="G838" t="s">
        <v>420</v>
      </c>
      <c r="H838" t="s">
        <v>4911</v>
      </c>
      <c r="I838">
        <v>30.26</v>
      </c>
    </row>
    <row r="839" spans="1:9" ht="12.75">
      <c r="A839">
        <v>834</v>
      </c>
      <c r="B839" t="s">
        <v>4912</v>
      </c>
      <c r="C839" t="s">
        <v>4913</v>
      </c>
      <c r="D839" t="s">
        <v>2780</v>
      </c>
      <c r="E839" t="s">
        <v>2823</v>
      </c>
      <c r="F839" t="str">
        <f>"298/504"</f>
        <v>298/504</v>
      </c>
      <c r="G839" t="s">
        <v>664</v>
      </c>
      <c r="H839" t="s">
        <v>4914</v>
      </c>
      <c r="I839">
        <v>30.25</v>
      </c>
    </row>
    <row r="840" spans="1:9" ht="12.75">
      <c r="A840">
        <v>835</v>
      </c>
      <c r="B840" t="s">
        <v>4915</v>
      </c>
      <c r="C840" t="s">
        <v>3633</v>
      </c>
      <c r="D840" t="s">
        <v>2780</v>
      </c>
      <c r="E840" t="s">
        <v>2823</v>
      </c>
      <c r="F840" t="str">
        <f>"299/504"</f>
        <v>299/504</v>
      </c>
      <c r="G840" t="s">
        <v>664</v>
      </c>
      <c r="H840" t="s">
        <v>4916</v>
      </c>
      <c r="I840">
        <v>30.23</v>
      </c>
    </row>
    <row r="841" spans="1:9" ht="12.75">
      <c r="A841">
        <v>836</v>
      </c>
      <c r="B841" t="s">
        <v>4917</v>
      </c>
      <c r="C841" t="s">
        <v>2840</v>
      </c>
      <c r="D841" t="s">
        <v>2780</v>
      </c>
      <c r="E841" t="s">
        <v>2818</v>
      </c>
      <c r="F841" t="str">
        <f>"128/307"</f>
        <v>128/307</v>
      </c>
      <c r="G841" t="s">
        <v>4918</v>
      </c>
      <c r="H841" t="s">
        <v>4919</v>
      </c>
      <c r="I841">
        <v>30.22</v>
      </c>
    </row>
    <row r="842" spans="1:9" ht="12.75">
      <c r="A842">
        <v>837</v>
      </c>
      <c r="B842" t="s">
        <v>4920</v>
      </c>
      <c r="C842" t="s">
        <v>504</v>
      </c>
      <c r="D842" t="s">
        <v>2780</v>
      </c>
      <c r="E842" t="s">
        <v>2823</v>
      </c>
      <c r="F842" t="str">
        <f>"300/504"</f>
        <v>300/504</v>
      </c>
      <c r="G842" t="s">
        <v>4921</v>
      </c>
      <c r="H842" t="s">
        <v>4922</v>
      </c>
      <c r="I842">
        <v>30.22</v>
      </c>
    </row>
    <row r="843" spans="1:9" ht="12.75">
      <c r="A843">
        <v>838</v>
      </c>
      <c r="B843" t="s">
        <v>4923</v>
      </c>
      <c r="C843" t="s">
        <v>2807</v>
      </c>
      <c r="D843" t="s">
        <v>2780</v>
      </c>
      <c r="E843" t="s">
        <v>2781</v>
      </c>
      <c r="F843" t="str">
        <f>"213/329"</f>
        <v>213/329</v>
      </c>
      <c r="G843" t="s">
        <v>369</v>
      </c>
      <c r="H843" t="s">
        <v>4924</v>
      </c>
      <c r="I843">
        <v>30.22</v>
      </c>
    </row>
    <row r="844" spans="1:9" ht="12.75">
      <c r="A844">
        <v>839</v>
      </c>
      <c r="B844" t="s">
        <v>4925</v>
      </c>
      <c r="C844" t="s">
        <v>4926</v>
      </c>
      <c r="D844" t="s">
        <v>3031</v>
      </c>
      <c r="E844" t="s">
        <v>3244</v>
      </c>
      <c r="F844" t="str">
        <f>"12/63"</f>
        <v>12/63</v>
      </c>
      <c r="G844" t="s">
        <v>3206</v>
      </c>
      <c r="H844" t="s">
        <v>4927</v>
      </c>
      <c r="I844">
        <v>30.22</v>
      </c>
    </row>
    <row r="845" spans="1:9" ht="12.75">
      <c r="A845">
        <v>840</v>
      </c>
      <c r="B845" t="s">
        <v>4928</v>
      </c>
      <c r="C845" t="s">
        <v>2963</v>
      </c>
      <c r="D845" t="s">
        <v>2780</v>
      </c>
      <c r="E845" t="s">
        <v>2823</v>
      </c>
      <c r="F845" t="str">
        <f>"301/504"</f>
        <v>301/504</v>
      </c>
      <c r="G845" t="s">
        <v>4929</v>
      </c>
      <c r="H845" t="s">
        <v>4930</v>
      </c>
      <c r="I845">
        <v>30.22</v>
      </c>
    </row>
    <row r="846" spans="1:9" ht="12.75">
      <c r="A846">
        <v>841</v>
      </c>
      <c r="B846" t="s">
        <v>4931</v>
      </c>
      <c r="C846" t="s">
        <v>504</v>
      </c>
      <c r="D846" t="s">
        <v>2780</v>
      </c>
      <c r="E846" t="s">
        <v>2823</v>
      </c>
      <c r="F846" t="str">
        <f>"302/504"</f>
        <v>302/504</v>
      </c>
      <c r="G846" t="s">
        <v>4929</v>
      </c>
      <c r="H846" t="s">
        <v>4930</v>
      </c>
      <c r="I846">
        <v>30.22</v>
      </c>
    </row>
    <row r="847" spans="1:9" ht="12.75">
      <c r="A847">
        <v>842</v>
      </c>
      <c r="B847" t="s">
        <v>490</v>
      </c>
      <c r="C847" t="s">
        <v>4932</v>
      </c>
      <c r="D847" t="s">
        <v>2780</v>
      </c>
      <c r="E847" t="s">
        <v>2973</v>
      </c>
      <c r="F847" t="str">
        <f>"46/167"</f>
        <v>46/167</v>
      </c>
      <c r="G847" t="s">
        <v>2787</v>
      </c>
      <c r="H847" t="s">
        <v>4933</v>
      </c>
      <c r="I847">
        <v>30.22</v>
      </c>
    </row>
    <row r="848" spans="1:9" ht="12.75">
      <c r="A848">
        <v>843</v>
      </c>
      <c r="B848" t="s">
        <v>4934</v>
      </c>
      <c r="C848" t="s">
        <v>3057</v>
      </c>
      <c r="D848" t="s">
        <v>2780</v>
      </c>
      <c r="E848" t="s">
        <v>2973</v>
      </c>
      <c r="F848" t="str">
        <f>"47/167"</f>
        <v>47/167</v>
      </c>
      <c r="G848" t="s">
        <v>4935</v>
      </c>
      <c r="H848" t="s">
        <v>4936</v>
      </c>
      <c r="I848">
        <v>30.21</v>
      </c>
    </row>
    <row r="849" spans="1:9" ht="12.75">
      <c r="A849">
        <v>844</v>
      </c>
      <c r="B849" t="s">
        <v>4937</v>
      </c>
      <c r="C849" t="s">
        <v>3025</v>
      </c>
      <c r="D849" t="s">
        <v>2780</v>
      </c>
      <c r="E849" t="s">
        <v>2781</v>
      </c>
      <c r="F849" t="str">
        <f>"214/329"</f>
        <v>214/329</v>
      </c>
      <c r="G849" t="s">
        <v>826</v>
      </c>
      <c r="H849" t="s">
        <v>4938</v>
      </c>
      <c r="I849">
        <v>30.2</v>
      </c>
    </row>
    <row r="850" spans="1:9" ht="12.75">
      <c r="A850">
        <v>845</v>
      </c>
      <c r="B850" t="s">
        <v>4939</v>
      </c>
      <c r="C850" t="s">
        <v>2861</v>
      </c>
      <c r="D850" t="s">
        <v>2780</v>
      </c>
      <c r="E850" t="s">
        <v>2823</v>
      </c>
      <c r="F850" t="str">
        <f>"303/504"</f>
        <v>303/504</v>
      </c>
      <c r="G850" t="s">
        <v>4940</v>
      </c>
      <c r="H850" t="s">
        <v>4941</v>
      </c>
      <c r="I850">
        <v>30.2</v>
      </c>
    </row>
    <row r="851" spans="1:9" ht="12.75">
      <c r="A851">
        <v>846</v>
      </c>
      <c r="B851" t="s">
        <v>4942</v>
      </c>
      <c r="C851" t="s">
        <v>4943</v>
      </c>
      <c r="D851" t="s">
        <v>2780</v>
      </c>
      <c r="E851" t="s">
        <v>2818</v>
      </c>
      <c r="F851" t="str">
        <f>"129/307"</f>
        <v>129/307</v>
      </c>
      <c r="G851" t="s">
        <v>3289</v>
      </c>
      <c r="H851" t="s">
        <v>4944</v>
      </c>
      <c r="I851">
        <v>30.2</v>
      </c>
    </row>
    <row r="852" spans="1:9" ht="12.75">
      <c r="A852">
        <v>847</v>
      </c>
      <c r="B852" t="s">
        <v>4945</v>
      </c>
      <c r="C852" t="s">
        <v>3283</v>
      </c>
      <c r="D852" t="s">
        <v>2780</v>
      </c>
      <c r="E852" t="s">
        <v>2823</v>
      </c>
      <c r="F852" t="str">
        <f>"304/504"</f>
        <v>304/504</v>
      </c>
      <c r="G852" t="s">
        <v>4946</v>
      </c>
      <c r="H852" t="s">
        <v>4947</v>
      </c>
      <c r="I852">
        <v>30.18</v>
      </c>
    </row>
    <row r="853" spans="1:9" ht="12.75">
      <c r="A853">
        <v>848</v>
      </c>
      <c r="B853" t="s">
        <v>4948</v>
      </c>
      <c r="C853" t="s">
        <v>3087</v>
      </c>
      <c r="D853" t="s">
        <v>2780</v>
      </c>
      <c r="E853" t="s">
        <v>2823</v>
      </c>
      <c r="F853" t="str">
        <f>"305/504"</f>
        <v>305/504</v>
      </c>
      <c r="G853" t="s">
        <v>3206</v>
      </c>
      <c r="H853" t="s">
        <v>4949</v>
      </c>
      <c r="I853">
        <v>30.18</v>
      </c>
    </row>
    <row r="854" spans="1:9" ht="12.75">
      <c r="A854">
        <v>849</v>
      </c>
      <c r="B854" t="s">
        <v>4950</v>
      </c>
      <c r="C854" t="s">
        <v>3286</v>
      </c>
      <c r="D854" t="s">
        <v>2780</v>
      </c>
      <c r="E854" t="s">
        <v>2823</v>
      </c>
      <c r="F854" t="str">
        <f>"306/504"</f>
        <v>306/504</v>
      </c>
      <c r="G854" t="s">
        <v>4951</v>
      </c>
      <c r="H854" t="s">
        <v>4952</v>
      </c>
      <c r="I854">
        <v>30.17</v>
      </c>
    </row>
    <row r="855" spans="1:9" ht="12.75">
      <c r="A855">
        <v>850</v>
      </c>
      <c r="B855" t="s">
        <v>4953</v>
      </c>
      <c r="C855" t="s">
        <v>341</v>
      </c>
      <c r="D855" t="s">
        <v>2780</v>
      </c>
      <c r="E855" t="s">
        <v>2823</v>
      </c>
      <c r="F855" t="str">
        <f>"307/504"</f>
        <v>307/504</v>
      </c>
      <c r="G855" t="s">
        <v>4954</v>
      </c>
      <c r="H855" t="s">
        <v>4955</v>
      </c>
      <c r="I855">
        <v>30.16</v>
      </c>
    </row>
    <row r="856" spans="1:9" ht="12.75">
      <c r="A856">
        <v>851</v>
      </c>
      <c r="B856" t="s">
        <v>4956</v>
      </c>
      <c r="C856" t="s">
        <v>2939</v>
      </c>
      <c r="D856" t="s">
        <v>2780</v>
      </c>
      <c r="E856" t="s">
        <v>2781</v>
      </c>
      <c r="F856" t="str">
        <f>"215/329"</f>
        <v>215/329</v>
      </c>
      <c r="G856" t="s">
        <v>4946</v>
      </c>
      <c r="H856" t="s">
        <v>4957</v>
      </c>
      <c r="I856">
        <v>30.15</v>
      </c>
    </row>
    <row r="857" spans="1:9" ht="12.75">
      <c r="A857">
        <v>852</v>
      </c>
      <c r="B857" t="s">
        <v>3366</v>
      </c>
      <c r="C857" t="s">
        <v>3087</v>
      </c>
      <c r="D857" t="s">
        <v>2780</v>
      </c>
      <c r="E857" t="s">
        <v>2781</v>
      </c>
      <c r="F857" t="str">
        <f>"216/329"</f>
        <v>216/329</v>
      </c>
      <c r="G857" t="s">
        <v>4958</v>
      </c>
      <c r="H857" t="s">
        <v>4959</v>
      </c>
      <c r="I857">
        <v>30.13</v>
      </c>
    </row>
    <row r="858" spans="1:9" ht="12.75">
      <c r="A858">
        <v>853</v>
      </c>
      <c r="B858" t="s">
        <v>4960</v>
      </c>
      <c r="C858" t="s">
        <v>3147</v>
      </c>
      <c r="D858" t="s">
        <v>2780</v>
      </c>
      <c r="E858" t="s">
        <v>3209</v>
      </c>
      <c r="F858" t="str">
        <f>"9/62"</f>
        <v>9/62</v>
      </c>
      <c r="G858" t="s">
        <v>693</v>
      </c>
      <c r="H858" t="s">
        <v>4961</v>
      </c>
      <c r="I858">
        <v>30.13</v>
      </c>
    </row>
    <row r="859" spans="1:9" ht="12.75">
      <c r="A859">
        <v>854</v>
      </c>
      <c r="B859" t="s">
        <v>4962</v>
      </c>
      <c r="C859" t="s">
        <v>4963</v>
      </c>
      <c r="D859" t="s">
        <v>3031</v>
      </c>
      <c r="E859" t="s">
        <v>3244</v>
      </c>
      <c r="F859" t="str">
        <f>"13/63"</f>
        <v>13/63</v>
      </c>
      <c r="G859" t="s">
        <v>155</v>
      </c>
      <c r="H859" t="s">
        <v>4964</v>
      </c>
      <c r="I859">
        <v>30.12</v>
      </c>
    </row>
    <row r="860" spans="1:9" ht="12.75">
      <c r="A860">
        <v>855</v>
      </c>
      <c r="B860" t="s">
        <v>4965</v>
      </c>
      <c r="C860" t="s">
        <v>54</v>
      </c>
      <c r="D860" t="s">
        <v>2780</v>
      </c>
      <c r="E860" t="s">
        <v>2823</v>
      </c>
      <c r="F860" t="str">
        <f>"308/504"</f>
        <v>308/504</v>
      </c>
      <c r="G860" t="s">
        <v>4966</v>
      </c>
      <c r="H860" t="s">
        <v>4967</v>
      </c>
      <c r="I860">
        <v>30.11</v>
      </c>
    </row>
    <row r="861" spans="1:9" ht="12.75">
      <c r="A861">
        <v>856</v>
      </c>
      <c r="B861" t="s">
        <v>4968</v>
      </c>
      <c r="C861" t="s">
        <v>3438</v>
      </c>
      <c r="D861" t="s">
        <v>2780</v>
      </c>
      <c r="E861" t="s">
        <v>2786</v>
      </c>
      <c r="F861" t="str">
        <f>"45/58"</f>
        <v>45/58</v>
      </c>
      <c r="G861" t="s">
        <v>4969</v>
      </c>
      <c r="H861" t="s">
        <v>4970</v>
      </c>
      <c r="I861">
        <v>30.09</v>
      </c>
    </row>
    <row r="862" spans="1:9" ht="12.75">
      <c r="A862">
        <v>857</v>
      </c>
      <c r="B862" t="s">
        <v>92</v>
      </c>
      <c r="C862" t="s">
        <v>2836</v>
      </c>
      <c r="D862" t="s">
        <v>2780</v>
      </c>
      <c r="E862" t="s">
        <v>2823</v>
      </c>
      <c r="F862" t="str">
        <f>"309/504"</f>
        <v>309/504</v>
      </c>
      <c r="G862" t="s">
        <v>3111</v>
      </c>
      <c r="H862" t="s">
        <v>4971</v>
      </c>
      <c r="I862">
        <v>30.09</v>
      </c>
    </row>
    <row r="863" spans="1:9" ht="12.75">
      <c r="A863">
        <v>858</v>
      </c>
      <c r="B863" t="s">
        <v>4972</v>
      </c>
      <c r="C863" t="s">
        <v>4973</v>
      </c>
      <c r="D863" t="s">
        <v>2780</v>
      </c>
      <c r="E863" t="s">
        <v>2818</v>
      </c>
      <c r="F863" t="str">
        <f>"130/307"</f>
        <v>130/307</v>
      </c>
      <c r="G863" t="s">
        <v>1104</v>
      </c>
      <c r="H863" t="s">
        <v>4974</v>
      </c>
      <c r="I863">
        <v>30.08</v>
      </c>
    </row>
    <row r="864" spans="1:9" ht="12.75">
      <c r="A864">
        <v>859</v>
      </c>
      <c r="B864" t="s">
        <v>939</v>
      </c>
      <c r="C864" t="s">
        <v>3141</v>
      </c>
      <c r="D864" t="s">
        <v>2780</v>
      </c>
      <c r="E864" t="s">
        <v>2823</v>
      </c>
      <c r="F864" t="str">
        <f>"310/504"</f>
        <v>310/504</v>
      </c>
      <c r="G864" t="s">
        <v>4975</v>
      </c>
      <c r="H864" t="s">
        <v>4976</v>
      </c>
      <c r="I864">
        <v>30.06</v>
      </c>
    </row>
    <row r="865" spans="1:9" ht="12.75">
      <c r="A865">
        <v>860</v>
      </c>
      <c r="B865" t="s">
        <v>4977</v>
      </c>
      <c r="C865" t="s">
        <v>2865</v>
      </c>
      <c r="D865" t="s">
        <v>2780</v>
      </c>
      <c r="E865" t="s">
        <v>2823</v>
      </c>
      <c r="F865" t="str">
        <f>"311/504"</f>
        <v>311/504</v>
      </c>
      <c r="G865" t="s">
        <v>4978</v>
      </c>
      <c r="H865" t="s">
        <v>4979</v>
      </c>
      <c r="I865">
        <v>30.06</v>
      </c>
    </row>
    <row r="866" spans="1:9" ht="12.75">
      <c r="A866">
        <v>861</v>
      </c>
      <c r="B866" t="s">
        <v>4980</v>
      </c>
      <c r="C866" t="s">
        <v>2966</v>
      </c>
      <c r="D866" t="s">
        <v>2780</v>
      </c>
      <c r="E866" t="s">
        <v>2818</v>
      </c>
      <c r="F866" t="str">
        <f>"131/307"</f>
        <v>131/307</v>
      </c>
      <c r="G866" t="s">
        <v>4981</v>
      </c>
      <c r="H866" t="s">
        <v>4982</v>
      </c>
      <c r="I866">
        <v>30.04</v>
      </c>
    </row>
    <row r="867" spans="1:9" ht="12.75">
      <c r="A867">
        <v>862</v>
      </c>
      <c r="B867" t="s">
        <v>4983</v>
      </c>
      <c r="C867" t="s">
        <v>2826</v>
      </c>
      <c r="D867" t="s">
        <v>2780</v>
      </c>
      <c r="E867" t="s">
        <v>2823</v>
      </c>
      <c r="F867" t="str">
        <f>"312/504"</f>
        <v>312/504</v>
      </c>
      <c r="G867" t="s">
        <v>4984</v>
      </c>
      <c r="H867" t="s">
        <v>4985</v>
      </c>
      <c r="I867">
        <v>30.04</v>
      </c>
    </row>
    <row r="868" spans="1:9" ht="12.75">
      <c r="A868">
        <v>863</v>
      </c>
      <c r="B868" t="s">
        <v>4986</v>
      </c>
      <c r="C868" t="s">
        <v>3008</v>
      </c>
      <c r="D868" t="s">
        <v>2780</v>
      </c>
      <c r="E868" t="s">
        <v>2781</v>
      </c>
      <c r="F868" t="str">
        <f>"217/329"</f>
        <v>217/329</v>
      </c>
      <c r="G868" t="s">
        <v>314</v>
      </c>
      <c r="H868" t="s">
        <v>4987</v>
      </c>
      <c r="I868">
        <v>30.04</v>
      </c>
    </row>
    <row r="869" spans="1:9" ht="12.75">
      <c r="A869">
        <v>864</v>
      </c>
      <c r="B869" t="s">
        <v>4988</v>
      </c>
      <c r="C869" t="s">
        <v>3421</v>
      </c>
      <c r="D869" t="s">
        <v>2780</v>
      </c>
      <c r="E869" t="s">
        <v>2823</v>
      </c>
      <c r="F869" t="str">
        <f>"313/504"</f>
        <v>313/504</v>
      </c>
      <c r="G869" t="s">
        <v>4989</v>
      </c>
      <c r="H869" t="s">
        <v>4990</v>
      </c>
      <c r="I869">
        <v>30.03</v>
      </c>
    </row>
    <row r="870" spans="1:9" ht="12.75">
      <c r="A870">
        <v>865</v>
      </c>
      <c r="B870" t="s">
        <v>4991</v>
      </c>
      <c r="C870" t="s">
        <v>2817</v>
      </c>
      <c r="D870" t="s">
        <v>2780</v>
      </c>
      <c r="E870" t="s">
        <v>2799</v>
      </c>
      <c r="F870" t="str">
        <f>"61/99"</f>
        <v>61/99</v>
      </c>
      <c r="G870" t="s">
        <v>4992</v>
      </c>
      <c r="H870" t="s">
        <v>4993</v>
      </c>
      <c r="I870">
        <v>30.03</v>
      </c>
    </row>
    <row r="871" spans="1:9" ht="12.75">
      <c r="A871">
        <v>866</v>
      </c>
      <c r="B871" t="s">
        <v>3511</v>
      </c>
      <c r="C871" t="s">
        <v>842</v>
      </c>
      <c r="D871" t="s">
        <v>2780</v>
      </c>
      <c r="E871" t="s">
        <v>2823</v>
      </c>
      <c r="F871" t="str">
        <f>"314/504"</f>
        <v>314/504</v>
      </c>
      <c r="G871" t="s">
        <v>434</v>
      </c>
      <c r="H871" t="s">
        <v>4994</v>
      </c>
      <c r="I871">
        <v>30.03</v>
      </c>
    </row>
    <row r="872" spans="1:9" ht="12.75">
      <c r="A872">
        <v>867</v>
      </c>
      <c r="B872" t="s">
        <v>4995</v>
      </c>
      <c r="C872" t="s">
        <v>2865</v>
      </c>
      <c r="D872" t="s">
        <v>2780</v>
      </c>
      <c r="E872" t="s">
        <v>2781</v>
      </c>
      <c r="F872" t="str">
        <f>"219/329"</f>
        <v>219/329</v>
      </c>
      <c r="G872" t="s">
        <v>693</v>
      </c>
      <c r="H872" t="s">
        <v>4996</v>
      </c>
      <c r="I872">
        <v>30.02</v>
      </c>
    </row>
    <row r="873" spans="1:9" ht="12.75">
      <c r="A873">
        <v>868</v>
      </c>
      <c r="B873" t="s">
        <v>3509</v>
      </c>
      <c r="C873" t="s">
        <v>2807</v>
      </c>
      <c r="D873" t="s">
        <v>2780</v>
      </c>
      <c r="E873" t="s">
        <v>2781</v>
      </c>
      <c r="F873" t="str">
        <f>"218/329"</f>
        <v>218/329</v>
      </c>
      <c r="G873" t="s">
        <v>2889</v>
      </c>
      <c r="H873" t="s">
        <v>4996</v>
      </c>
      <c r="I873">
        <v>30.02</v>
      </c>
    </row>
    <row r="874" spans="1:9" ht="12.75">
      <c r="A874">
        <v>869</v>
      </c>
      <c r="B874" t="s">
        <v>4997</v>
      </c>
      <c r="C874" t="s">
        <v>2966</v>
      </c>
      <c r="D874" t="s">
        <v>2780</v>
      </c>
      <c r="E874" t="s">
        <v>2781</v>
      </c>
      <c r="F874" t="str">
        <f>"220/329"</f>
        <v>220/329</v>
      </c>
      <c r="G874" t="s">
        <v>1086</v>
      </c>
      <c r="H874" t="s">
        <v>4998</v>
      </c>
      <c r="I874">
        <v>30.01</v>
      </c>
    </row>
    <row r="875" spans="1:9" ht="12.75">
      <c r="A875">
        <v>870</v>
      </c>
      <c r="B875" t="s">
        <v>4999</v>
      </c>
      <c r="C875" t="s">
        <v>2865</v>
      </c>
      <c r="D875" t="s">
        <v>2780</v>
      </c>
      <c r="E875" t="s">
        <v>2781</v>
      </c>
      <c r="F875" t="str">
        <f>"221/329"</f>
        <v>221/329</v>
      </c>
      <c r="G875" t="s">
        <v>5000</v>
      </c>
      <c r="H875" t="s">
        <v>5001</v>
      </c>
      <c r="I875">
        <v>30</v>
      </c>
    </row>
    <row r="876" spans="1:9" ht="12.75">
      <c r="A876">
        <v>871</v>
      </c>
      <c r="B876" t="s">
        <v>5002</v>
      </c>
      <c r="C876" t="s">
        <v>2868</v>
      </c>
      <c r="D876" t="s">
        <v>2780</v>
      </c>
      <c r="E876" t="s">
        <v>2799</v>
      </c>
      <c r="F876" t="str">
        <f>"62/99"</f>
        <v>62/99</v>
      </c>
      <c r="G876" t="s">
        <v>5003</v>
      </c>
      <c r="H876" t="s">
        <v>5004</v>
      </c>
      <c r="I876">
        <v>29.99</v>
      </c>
    </row>
    <row r="877" spans="1:9" ht="12.75">
      <c r="A877">
        <v>872</v>
      </c>
      <c r="B877" t="s">
        <v>5005</v>
      </c>
      <c r="C877" t="s">
        <v>2814</v>
      </c>
      <c r="D877" t="s">
        <v>2780</v>
      </c>
      <c r="E877" t="s">
        <v>2799</v>
      </c>
      <c r="F877" t="str">
        <f>"63/99"</f>
        <v>63/99</v>
      </c>
      <c r="G877" t="s">
        <v>5006</v>
      </c>
      <c r="H877" t="s">
        <v>5007</v>
      </c>
      <c r="I877">
        <v>29.99</v>
      </c>
    </row>
    <row r="878" spans="1:9" ht="12.75">
      <c r="A878">
        <v>873</v>
      </c>
      <c r="B878" t="s">
        <v>5008</v>
      </c>
      <c r="C878" t="s">
        <v>191</v>
      </c>
      <c r="D878" t="s">
        <v>2780</v>
      </c>
      <c r="E878" t="s">
        <v>2799</v>
      </c>
      <c r="F878" t="str">
        <f>"64/99"</f>
        <v>64/99</v>
      </c>
      <c r="G878" t="s">
        <v>5003</v>
      </c>
      <c r="H878" t="s">
        <v>5009</v>
      </c>
      <c r="I878">
        <v>29.99</v>
      </c>
    </row>
    <row r="879" spans="1:9" ht="12.75">
      <c r="A879">
        <v>874</v>
      </c>
      <c r="B879" t="s">
        <v>5010</v>
      </c>
      <c r="C879" t="s">
        <v>2963</v>
      </c>
      <c r="D879" t="s">
        <v>2780</v>
      </c>
      <c r="E879" t="s">
        <v>2818</v>
      </c>
      <c r="F879" t="str">
        <f>"132/307"</f>
        <v>132/307</v>
      </c>
      <c r="G879" t="s">
        <v>434</v>
      </c>
      <c r="H879" t="s">
        <v>5011</v>
      </c>
      <c r="I879">
        <v>29.99</v>
      </c>
    </row>
    <row r="880" spans="1:9" ht="12.75">
      <c r="A880">
        <v>875</v>
      </c>
      <c r="B880" t="s">
        <v>5012</v>
      </c>
      <c r="C880" t="s">
        <v>3114</v>
      </c>
      <c r="D880" t="s">
        <v>2780</v>
      </c>
      <c r="E880" t="s">
        <v>2973</v>
      </c>
      <c r="F880" t="str">
        <f>"48/167"</f>
        <v>48/167</v>
      </c>
      <c r="G880" t="s">
        <v>3049</v>
      </c>
      <c r="H880" t="s">
        <v>5013</v>
      </c>
      <c r="I880">
        <v>29.98</v>
      </c>
    </row>
    <row r="881" spans="1:9" ht="12.75">
      <c r="A881">
        <v>876</v>
      </c>
      <c r="B881" t="s">
        <v>5014</v>
      </c>
      <c r="C881" t="s">
        <v>3141</v>
      </c>
      <c r="D881" t="s">
        <v>2780</v>
      </c>
      <c r="E881" t="s">
        <v>2781</v>
      </c>
      <c r="F881" t="str">
        <f>"222/329"</f>
        <v>222/329</v>
      </c>
      <c r="G881" t="s">
        <v>3018</v>
      </c>
      <c r="H881" t="s">
        <v>5015</v>
      </c>
      <c r="I881">
        <v>29.98</v>
      </c>
    </row>
    <row r="882" spans="1:9" ht="12.75">
      <c r="A882">
        <v>877</v>
      </c>
      <c r="B882" t="s">
        <v>5016</v>
      </c>
      <c r="C882" t="s">
        <v>903</v>
      </c>
      <c r="D882" t="s">
        <v>3031</v>
      </c>
      <c r="E882" t="s">
        <v>3244</v>
      </c>
      <c r="F882" t="str">
        <f>"14/63"</f>
        <v>14/63</v>
      </c>
      <c r="G882" t="s">
        <v>81</v>
      </c>
      <c r="H882" t="s">
        <v>5017</v>
      </c>
      <c r="I882">
        <v>29.95</v>
      </c>
    </row>
    <row r="883" spans="1:9" ht="12.75">
      <c r="A883">
        <v>878</v>
      </c>
      <c r="B883" t="s">
        <v>493</v>
      </c>
      <c r="C883" t="s">
        <v>2836</v>
      </c>
      <c r="D883" t="s">
        <v>2780</v>
      </c>
      <c r="E883" t="s">
        <v>2818</v>
      </c>
      <c r="F883" t="str">
        <f>"133/307"</f>
        <v>133/307</v>
      </c>
      <c r="G883" t="s">
        <v>3018</v>
      </c>
      <c r="H883" t="s">
        <v>5018</v>
      </c>
      <c r="I883">
        <v>29.93</v>
      </c>
    </row>
    <row r="884" spans="1:9" ht="12.75">
      <c r="A884">
        <v>879</v>
      </c>
      <c r="B884" t="s">
        <v>5019</v>
      </c>
      <c r="C884" t="s">
        <v>3276</v>
      </c>
      <c r="D884" t="s">
        <v>2780</v>
      </c>
      <c r="E884" t="s">
        <v>2823</v>
      </c>
      <c r="F884" t="str">
        <f>"315/504"</f>
        <v>315/504</v>
      </c>
      <c r="G884" t="s">
        <v>3144</v>
      </c>
      <c r="H884" t="s">
        <v>5020</v>
      </c>
      <c r="I884">
        <v>29.92</v>
      </c>
    </row>
    <row r="885" spans="1:9" ht="12.75">
      <c r="A885">
        <v>880</v>
      </c>
      <c r="B885" t="s">
        <v>5021</v>
      </c>
      <c r="C885" t="s">
        <v>3438</v>
      </c>
      <c r="D885" t="s">
        <v>2780</v>
      </c>
      <c r="E885" t="s">
        <v>2823</v>
      </c>
      <c r="F885" t="str">
        <f>"316/504"</f>
        <v>316/504</v>
      </c>
      <c r="G885" t="s">
        <v>664</v>
      </c>
      <c r="H885" t="s">
        <v>5022</v>
      </c>
      <c r="I885">
        <v>29.92</v>
      </c>
    </row>
    <row r="886" spans="1:9" ht="12.75">
      <c r="A886">
        <v>881</v>
      </c>
      <c r="B886" t="s">
        <v>5023</v>
      </c>
      <c r="C886" t="s">
        <v>109</v>
      </c>
      <c r="D886" t="s">
        <v>2780</v>
      </c>
      <c r="E886" t="s">
        <v>2781</v>
      </c>
      <c r="F886" t="str">
        <f>"223/329"</f>
        <v>223/329</v>
      </c>
      <c r="G886" t="s">
        <v>2858</v>
      </c>
      <c r="H886" t="s">
        <v>5024</v>
      </c>
      <c r="I886">
        <v>29.91</v>
      </c>
    </row>
    <row r="887" spans="1:9" ht="12.75">
      <c r="A887">
        <v>882</v>
      </c>
      <c r="B887" t="s">
        <v>5005</v>
      </c>
      <c r="C887" t="s">
        <v>2836</v>
      </c>
      <c r="D887" t="s">
        <v>2780</v>
      </c>
      <c r="E887" t="s">
        <v>2799</v>
      </c>
      <c r="F887" t="str">
        <f>"65/99"</f>
        <v>65/99</v>
      </c>
      <c r="G887" t="s">
        <v>446</v>
      </c>
      <c r="H887" t="s">
        <v>5025</v>
      </c>
      <c r="I887">
        <v>29.91</v>
      </c>
    </row>
    <row r="888" spans="1:9" ht="12.75">
      <c r="A888">
        <v>883</v>
      </c>
      <c r="B888" t="s">
        <v>5026</v>
      </c>
      <c r="C888" t="s">
        <v>2966</v>
      </c>
      <c r="D888" t="s">
        <v>2780</v>
      </c>
      <c r="E888" t="s">
        <v>2823</v>
      </c>
      <c r="F888" t="str">
        <f>"317/504"</f>
        <v>317/504</v>
      </c>
      <c r="G888" t="s">
        <v>5027</v>
      </c>
      <c r="H888" t="s">
        <v>5028</v>
      </c>
      <c r="I888">
        <v>29.89</v>
      </c>
    </row>
    <row r="889" spans="1:9" ht="12.75">
      <c r="A889">
        <v>884</v>
      </c>
      <c r="B889" t="s">
        <v>2990</v>
      </c>
      <c r="C889" t="s">
        <v>2865</v>
      </c>
      <c r="D889" t="s">
        <v>2780</v>
      </c>
      <c r="E889" t="s">
        <v>2786</v>
      </c>
      <c r="F889" t="str">
        <f>"46/58"</f>
        <v>46/58</v>
      </c>
      <c r="G889" t="s">
        <v>5027</v>
      </c>
      <c r="H889" t="s">
        <v>5029</v>
      </c>
      <c r="I889">
        <v>29.88</v>
      </c>
    </row>
    <row r="890" spans="1:9" ht="12.75">
      <c r="A890">
        <v>885</v>
      </c>
      <c r="B890" t="s">
        <v>5030</v>
      </c>
      <c r="C890" t="s">
        <v>5031</v>
      </c>
      <c r="D890" t="s">
        <v>2780</v>
      </c>
      <c r="E890" t="s">
        <v>2823</v>
      </c>
      <c r="F890" t="str">
        <f>"318/504"</f>
        <v>318/504</v>
      </c>
      <c r="G890" t="s">
        <v>545</v>
      </c>
      <c r="H890" t="s">
        <v>5032</v>
      </c>
      <c r="I890">
        <v>29.87</v>
      </c>
    </row>
    <row r="891" spans="1:9" ht="12.75">
      <c r="A891">
        <v>886</v>
      </c>
      <c r="B891" t="s">
        <v>2915</v>
      </c>
      <c r="C891" t="s">
        <v>5033</v>
      </c>
      <c r="D891" t="s">
        <v>2780</v>
      </c>
      <c r="E891" t="s">
        <v>2786</v>
      </c>
      <c r="F891" t="str">
        <f>"47/58"</f>
        <v>47/58</v>
      </c>
      <c r="G891" t="s">
        <v>5034</v>
      </c>
      <c r="H891" t="s">
        <v>5035</v>
      </c>
      <c r="I891">
        <v>29.87</v>
      </c>
    </row>
    <row r="892" spans="1:9" ht="12.75">
      <c r="A892">
        <v>887</v>
      </c>
      <c r="B892" t="s">
        <v>5036</v>
      </c>
      <c r="C892" t="s">
        <v>504</v>
      </c>
      <c r="D892" t="s">
        <v>2780</v>
      </c>
      <c r="E892" t="s">
        <v>2818</v>
      </c>
      <c r="F892" t="str">
        <f>"134/307"</f>
        <v>134/307</v>
      </c>
      <c r="G892" t="s">
        <v>5037</v>
      </c>
      <c r="H892" t="s">
        <v>5038</v>
      </c>
      <c r="I892">
        <v>29.85</v>
      </c>
    </row>
    <row r="893" spans="1:9" ht="12.75">
      <c r="A893">
        <v>888</v>
      </c>
      <c r="B893" t="s">
        <v>5039</v>
      </c>
      <c r="C893" t="s">
        <v>3633</v>
      </c>
      <c r="D893" t="s">
        <v>2780</v>
      </c>
      <c r="E893" t="s">
        <v>2781</v>
      </c>
      <c r="F893" t="str">
        <f>"224/329"</f>
        <v>224/329</v>
      </c>
      <c r="G893" t="s">
        <v>858</v>
      </c>
      <c r="H893" t="s">
        <v>5040</v>
      </c>
      <c r="I893">
        <v>29.85</v>
      </c>
    </row>
    <row r="894" spans="1:9" ht="12.75">
      <c r="A894">
        <v>889</v>
      </c>
      <c r="B894" t="s">
        <v>5041</v>
      </c>
      <c r="C894" t="s">
        <v>24</v>
      </c>
      <c r="D894" t="s">
        <v>2780</v>
      </c>
      <c r="E894" t="s">
        <v>2823</v>
      </c>
      <c r="F894" t="str">
        <f>"319/504"</f>
        <v>319/504</v>
      </c>
      <c r="G894" t="s">
        <v>4891</v>
      </c>
      <c r="H894" t="s">
        <v>5042</v>
      </c>
      <c r="I894">
        <v>29.84</v>
      </c>
    </row>
    <row r="895" spans="1:9" ht="12.75">
      <c r="A895">
        <v>890</v>
      </c>
      <c r="B895" t="s">
        <v>5043</v>
      </c>
      <c r="C895" t="s">
        <v>5044</v>
      </c>
      <c r="D895" t="s">
        <v>2780</v>
      </c>
      <c r="E895" t="s">
        <v>2973</v>
      </c>
      <c r="F895" t="str">
        <f>"49/167"</f>
        <v>49/167</v>
      </c>
      <c r="G895" t="s">
        <v>5045</v>
      </c>
      <c r="H895" t="s">
        <v>5046</v>
      </c>
      <c r="I895">
        <v>29.84</v>
      </c>
    </row>
    <row r="896" spans="1:9" ht="12.75">
      <c r="A896">
        <v>891</v>
      </c>
      <c r="B896" t="s">
        <v>5047</v>
      </c>
      <c r="C896" t="s">
        <v>5048</v>
      </c>
      <c r="D896" t="s">
        <v>2780</v>
      </c>
      <c r="E896" t="s">
        <v>2799</v>
      </c>
      <c r="F896" t="str">
        <f>"66/99"</f>
        <v>66/99</v>
      </c>
      <c r="G896" t="s">
        <v>5049</v>
      </c>
      <c r="H896" t="s">
        <v>5050</v>
      </c>
      <c r="I896">
        <v>29.81</v>
      </c>
    </row>
    <row r="897" spans="1:9" ht="12.75">
      <c r="A897">
        <v>892</v>
      </c>
      <c r="B897" t="s">
        <v>5051</v>
      </c>
      <c r="C897" t="s">
        <v>3625</v>
      </c>
      <c r="D897" t="s">
        <v>2780</v>
      </c>
      <c r="E897" t="s">
        <v>2973</v>
      </c>
      <c r="F897" t="str">
        <f>"50/167"</f>
        <v>50/167</v>
      </c>
      <c r="G897" t="s">
        <v>5052</v>
      </c>
      <c r="H897" t="s">
        <v>5053</v>
      </c>
      <c r="I897">
        <v>29.81</v>
      </c>
    </row>
    <row r="898" spans="1:9" ht="12.75">
      <c r="A898">
        <v>893</v>
      </c>
      <c r="B898" t="s">
        <v>5054</v>
      </c>
      <c r="C898" t="s">
        <v>2836</v>
      </c>
      <c r="D898" t="s">
        <v>2780</v>
      </c>
      <c r="E898" t="s">
        <v>2818</v>
      </c>
      <c r="F898" t="str">
        <f>"135/307"</f>
        <v>135/307</v>
      </c>
      <c r="G898" t="s">
        <v>3206</v>
      </c>
      <c r="H898" t="s">
        <v>5055</v>
      </c>
      <c r="I898">
        <v>29.81</v>
      </c>
    </row>
    <row r="899" spans="1:9" ht="12.75">
      <c r="A899">
        <v>894</v>
      </c>
      <c r="B899" t="s">
        <v>5056</v>
      </c>
      <c r="C899" t="s">
        <v>253</v>
      </c>
      <c r="D899" t="s">
        <v>2780</v>
      </c>
      <c r="E899" t="s">
        <v>2823</v>
      </c>
      <c r="F899" t="str">
        <f>"320/504"</f>
        <v>320/504</v>
      </c>
      <c r="G899" t="s">
        <v>3492</v>
      </c>
      <c r="H899" t="s">
        <v>5057</v>
      </c>
      <c r="I899">
        <v>29.81</v>
      </c>
    </row>
    <row r="900" spans="1:9" ht="12.75">
      <c r="A900">
        <v>895</v>
      </c>
      <c r="B900" t="s">
        <v>441</v>
      </c>
      <c r="C900" t="s">
        <v>2814</v>
      </c>
      <c r="D900" t="s">
        <v>2780</v>
      </c>
      <c r="E900" t="s">
        <v>2799</v>
      </c>
      <c r="F900" t="str">
        <f>"67/99"</f>
        <v>67/99</v>
      </c>
      <c r="G900" t="s">
        <v>881</v>
      </c>
      <c r="H900" t="s">
        <v>5058</v>
      </c>
      <c r="I900">
        <v>29.8</v>
      </c>
    </row>
    <row r="901" spans="1:9" ht="12.75">
      <c r="A901">
        <v>896</v>
      </c>
      <c r="B901" t="s">
        <v>5059</v>
      </c>
      <c r="C901" t="s">
        <v>5060</v>
      </c>
      <c r="D901" t="s">
        <v>2780</v>
      </c>
      <c r="E901" t="s">
        <v>2818</v>
      </c>
      <c r="F901" t="str">
        <f>"136/307"</f>
        <v>136/307</v>
      </c>
      <c r="G901" t="s">
        <v>2889</v>
      </c>
      <c r="H901" t="s">
        <v>5061</v>
      </c>
      <c r="I901">
        <v>29.79</v>
      </c>
    </row>
    <row r="902" spans="1:9" ht="12.75">
      <c r="A902">
        <v>897</v>
      </c>
      <c r="B902" t="s">
        <v>3264</v>
      </c>
      <c r="C902" t="s">
        <v>2942</v>
      </c>
      <c r="D902" t="s">
        <v>2780</v>
      </c>
      <c r="E902" t="s">
        <v>2799</v>
      </c>
      <c r="F902" t="str">
        <f>"68/99"</f>
        <v>68/99</v>
      </c>
      <c r="G902" t="s">
        <v>5062</v>
      </c>
      <c r="H902" t="s">
        <v>5063</v>
      </c>
      <c r="I902">
        <v>29.78</v>
      </c>
    </row>
    <row r="903" spans="1:9" ht="12.75">
      <c r="A903">
        <v>898</v>
      </c>
      <c r="B903" t="s">
        <v>5064</v>
      </c>
      <c r="C903" t="s">
        <v>401</v>
      </c>
      <c r="D903" t="s">
        <v>2780</v>
      </c>
      <c r="E903" t="s">
        <v>2973</v>
      </c>
      <c r="F903" t="str">
        <f>"51/167"</f>
        <v>51/167</v>
      </c>
      <c r="G903" t="s">
        <v>5065</v>
      </c>
      <c r="H903" t="s">
        <v>5066</v>
      </c>
      <c r="I903">
        <v>29.78</v>
      </c>
    </row>
    <row r="904" spans="1:9" ht="12.75">
      <c r="A904">
        <v>899</v>
      </c>
      <c r="B904" t="s">
        <v>5067</v>
      </c>
      <c r="C904" t="s">
        <v>814</v>
      </c>
      <c r="D904" t="s">
        <v>2780</v>
      </c>
      <c r="E904" t="s">
        <v>2973</v>
      </c>
      <c r="F904" t="str">
        <f>"52/167"</f>
        <v>52/167</v>
      </c>
      <c r="G904" t="s">
        <v>3528</v>
      </c>
      <c r="H904" t="s">
        <v>5068</v>
      </c>
      <c r="I904">
        <v>29.77</v>
      </c>
    </row>
    <row r="905" spans="1:9" ht="12.75">
      <c r="A905">
        <v>900</v>
      </c>
      <c r="B905" t="s">
        <v>14</v>
      </c>
      <c r="C905" t="s">
        <v>3123</v>
      </c>
      <c r="D905" t="s">
        <v>2780</v>
      </c>
      <c r="E905" t="s">
        <v>2781</v>
      </c>
      <c r="F905" t="str">
        <f>"225/329"</f>
        <v>225/329</v>
      </c>
      <c r="G905" t="s">
        <v>1080</v>
      </c>
      <c r="H905" t="s">
        <v>5069</v>
      </c>
      <c r="I905">
        <v>29.77</v>
      </c>
    </row>
    <row r="906" spans="1:9" ht="12.75">
      <c r="A906">
        <v>901</v>
      </c>
      <c r="B906" t="s">
        <v>5070</v>
      </c>
      <c r="C906" t="s">
        <v>5044</v>
      </c>
      <c r="D906" t="s">
        <v>2780</v>
      </c>
      <c r="E906" t="s">
        <v>2973</v>
      </c>
      <c r="F906" t="str">
        <f>"53/167"</f>
        <v>53/167</v>
      </c>
      <c r="G906" t="s">
        <v>5071</v>
      </c>
      <c r="H906" t="s">
        <v>5072</v>
      </c>
      <c r="I906">
        <v>29.76</v>
      </c>
    </row>
    <row r="907" spans="1:9" ht="12.75">
      <c r="A907">
        <v>902</v>
      </c>
      <c r="B907" t="s">
        <v>5073</v>
      </c>
      <c r="C907" t="s">
        <v>3147</v>
      </c>
      <c r="D907" t="s">
        <v>2780</v>
      </c>
      <c r="E907" t="s">
        <v>2818</v>
      </c>
      <c r="F907" t="str">
        <f>"137/307"</f>
        <v>137/307</v>
      </c>
      <c r="G907" t="s">
        <v>2974</v>
      </c>
      <c r="H907" t="s">
        <v>5074</v>
      </c>
      <c r="I907">
        <v>29.75</v>
      </c>
    </row>
    <row r="908" spans="1:9" ht="12.75">
      <c r="A908">
        <v>903</v>
      </c>
      <c r="B908" t="s">
        <v>5075</v>
      </c>
      <c r="C908" t="s">
        <v>2814</v>
      </c>
      <c r="D908" t="s">
        <v>2780</v>
      </c>
      <c r="E908" t="s">
        <v>2823</v>
      </c>
      <c r="F908" t="str">
        <f>"321/504"</f>
        <v>321/504</v>
      </c>
      <c r="G908" t="s">
        <v>5076</v>
      </c>
      <c r="H908" t="s">
        <v>5077</v>
      </c>
      <c r="I908">
        <v>29.75</v>
      </c>
    </row>
    <row r="909" spans="1:9" ht="12.75">
      <c r="A909">
        <v>904</v>
      </c>
      <c r="B909" t="s">
        <v>5078</v>
      </c>
      <c r="C909" t="s">
        <v>2857</v>
      </c>
      <c r="D909" t="s">
        <v>2780</v>
      </c>
      <c r="E909" t="s">
        <v>2823</v>
      </c>
      <c r="F909" t="str">
        <f>"322/504"</f>
        <v>322/504</v>
      </c>
      <c r="G909" t="s">
        <v>5079</v>
      </c>
      <c r="H909" t="s">
        <v>5080</v>
      </c>
      <c r="I909">
        <v>29.74</v>
      </c>
    </row>
    <row r="910" spans="1:9" ht="12.75">
      <c r="A910">
        <v>905</v>
      </c>
      <c r="B910" t="s">
        <v>2802</v>
      </c>
      <c r="C910" t="s">
        <v>5081</v>
      </c>
      <c r="D910" t="s">
        <v>2780</v>
      </c>
      <c r="E910" t="s">
        <v>2973</v>
      </c>
      <c r="F910" t="str">
        <f>"54/167"</f>
        <v>54/167</v>
      </c>
      <c r="G910" t="s">
        <v>2804</v>
      </c>
      <c r="H910" t="s">
        <v>5082</v>
      </c>
      <c r="I910">
        <v>29.73</v>
      </c>
    </row>
    <row r="911" spans="1:9" ht="12.75">
      <c r="A911">
        <v>906</v>
      </c>
      <c r="B911" t="s">
        <v>5083</v>
      </c>
      <c r="C911" t="s">
        <v>5084</v>
      </c>
      <c r="D911" t="s">
        <v>2780</v>
      </c>
      <c r="E911" t="s">
        <v>2823</v>
      </c>
      <c r="F911" t="str">
        <f>"323/504"</f>
        <v>323/504</v>
      </c>
      <c r="G911" t="s">
        <v>5085</v>
      </c>
      <c r="H911" t="s">
        <v>5086</v>
      </c>
      <c r="I911">
        <v>29.73</v>
      </c>
    </row>
    <row r="912" spans="1:9" ht="12.75">
      <c r="A912">
        <v>907</v>
      </c>
      <c r="B912" t="s">
        <v>5087</v>
      </c>
      <c r="C912" t="s">
        <v>2840</v>
      </c>
      <c r="D912" t="s">
        <v>2780</v>
      </c>
      <c r="E912" t="s">
        <v>2823</v>
      </c>
      <c r="F912" t="str">
        <f>"324/504"</f>
        <v>324/504</v>
      </c>
      <c r="G912" t="s">
        <v>363</v>
      </c>
      <c r="H912" t="s">
        <v>5088</v>
      </c>
      <c r="I912">
        <v>29.7</v>
      </c>
    </row>
    <row r="913" spans="1:9" ht="12.75">
      <c r="A913">
        <v>908</v>
      </c>
      <c r="B913" t="s">
        <v>5089</v>
      </c>
      <c r="C913" t="s">
        <v>2865</v>
      </c>
      <c r="D913" t="s">
        <v>2780</v>
      </c>
      <c r="E913" t="s">
        <v>2799</v>
      </c>
      <c r="F913" t="str">
        <f>"69/99"</f>
        <v>69/99</v>
      </c>
      <c r="G913" t="s">
        <v>5090</v>
      </c>
      <c r="H913" t="s">
        <v>5091</v>
      </c>
      <c r="I913">
        <v>29.69</v>
      </c>
    </row>
    <row r="914" spans="1:9" ht="12.75">
      <c r="A914">
        <v>909</v>
      </c>
      <c r="B914" t="s">
        <v>5092</v>
      </c>
      <c r="C914" t="s">
        <v>2865</v>
      </c>
      <c r="D914" t="s">
        <v>2780</v>
      </c>
      <c r="E914" t="s">
        <v>2823</v>
      </c>
      <c r="F914" t="str">
        <f>"325/504"</f>
        <v>325/504</v>
      </c>
      <c r="G914" t="s">
        <v>3289</v>
      </c>
      <c r="H914" t="s">
        <v>5093</v>
      </c>
      <c r="I914">
        <v>29.67</v>
      </c>
    </row>
    <row r="915" spans="1:9" ht="12.75">
      <c r="A915">
        <v>910</v>
      </c>
      <c r="B915" t="s">
        <v>5094</v>
      </c>
      <c r="C915" t="s">
        <v>2861</v>
      </c>
      <c r="D915" t="s">
        <v>2780</v>
      </c>
      <c r="E915" t="s">
        <v>2799</v>
      </c>
      <c r="F915" t="str">
        <f>"70/99"</f>
        <v>70/99</v>
      </c>
      <c r="G915" t="s">
        <v>5095</v>
      </c>
      <c r="H915" t="s">
        <v>5096</v>
      </c>
      <c r="I915">
        <v>29.66</v>
      </c>
    </row>
    <row r="916" spans="1:9" ht="12.75">
      <c r="A916">
        <v>911</v>
      </c>
      <c r="B916" t="s">
        <v>5097</v>
      </c>
      <c r="C916" t="s">
        <v>3260</v>
      </c>
      <c r="D916" t="s">
        <v>2780</v>
      </c>
      <c r="E916" t="s">
        <v>2823</v>
      </c>
      <c r="F916" t="str">
        <f>"326/504"</f>
        <v>326/504</v>
      </c>
      <c r="G916" t="s">
        <v>858</v>
      </c>
      <c r="H916" t="s">
        <v>5098</v>
      </c>
      <c r="I916">
        <v>29.64</v>
      </c>
    </row>
    <row r="917" spans="1:9" ht="12.75">
      <c r="A917">
        <v>912</v>
      </c>
      <c r="B917" t="s">
        <v>1137</v>
      </c>
      <c r="C917" t="s">
        <v>84</v>
      </c>
      <c r="D917" t="s">
        <v>2780</v>
      </c>
      <c r="E917" t="s">
        <v>2818</v>
      </c>
      <c r="F917" t="str">
        <f>"138/307"</f>
        <v>138/307</v>
      </c>
      <c r="G917" t="s">
        <v>5071</v>
      </c>
      <c r="H917" t="s">
        <v>5099</v>
      </c>
      <c r="I917">
        <v>29.63</v>
      </c>
    </row>
    <row r="918" spans="1:9" ht="12.75">
      <c r="A918">
        <v>913</v>
      </c>
      <c r="B918" t="s">
        <v>5100</v>
      </c>
      <c r="C918" t="s">
        <v>2865</v>
      </c>
      <c r="D918" t="s">
        <v>2780</v>
      </c>
      <c r="E918" t="s">
        <v>2823</v>
      </c>
      <c r="F918" t="str">
        <f>"327/504"</f>
        <v>327/504</v>
      </c>
      <c r="G918" t="s">
        <v>806</v>
      </c>
      <c r="H918" t="s">
        <v>5101</v>
      </c>
      <c r="I918">
        <v>29.63</v>
      </c>
    </row>
    <row r="919" spans="1:9" ht="12.75">
      <c r="A919">
        <v>914</v>
      </c>
      <c r="B919" t="s">
        <v>5102</v>
      </c>
      <c r="C919" t="s">
        <v>2865</v>
      </c>
      <c r="D919" t="s">
        <v>2780</v>
      </c>
      <c r="E919" t="s">
        <v>2818</v>
      </c>
      <c r="F919" t="str">
        <f>"139/307"</f>
        <v>139/307</v>
      </c>
      <c r="G919" t="s">
        <v>806</v>
      </c>
      <c r="H919" t="s">
        <v>5103</v>
      </c>
      <c r="I919">
        <v>29.62</v>
      </c>
    </row>
    <row r="920" spans="1:9" ht="12.75">
      <c r="A920">
        <v>915</v>
      </c>
      <c r="B920" t="s">
        <v>5104</v>
      </c>
      <c r="C920" t="s">
        <v>4894</v>
      </c>
      <c r="D920" t="s">
        <v>2780</v>
      </c>
      <c r="E920" t="s">
        <v>2973</v>
      </c>
      <c r="F920" t="str">
        <f>"55/167"</f>
        <v>55/167</v>
      </c>
      <c r="G920" t="s">
        <v>5105</v>
      </c>
      <c r="H920" t="s">
        <v>5106</v>
      </c>
      <c r="I920">
        <v>29.59</v>
      </c>
    </row>
    <row r="921" spans="1:9" ht="12.75">
      <c r="A921">
        <v>916</v>
      </c>
      <c r="B921" t="s">
        <v>5107</v>
      </c>
      <c r="C921" t="s">
        <v>3346</v>
      </c>
      <c r="D921" t="s">
        <v>2780</v>
      </c>
      <c r="E921" t="s">
        <v>2823</v>
      </c>
      <c r="F921" t="str">
        <f>"328/504"</f>
        <v>328/504</v>
      </c>
      <c r="G921" t="s">
        <v>3391</v>
      </c>
      <c r="H921" t="s">
        <v>5108</v>
      </c>
      <c r="I921">
        <v>29.59</v>
      </c>
    </row>
    <row r="922" spans="1:9" ht="12.75">
      <c r="A922">
        <v>917</v>
      </c>
      <c r="B922" t="s">
        <v>5109</v>
      </c>
      <c r="C922" t="s">
        <v>615</v>
      </c>
      <c r="D922" t="s">
        <v>2780</v>
      </c>
      <c r="E922" t="s">
        <v>2973</v>
      </c>
      <c r="F922" t="str">
        <f>"56/167"</f>
        <v>56/167</v>
      </c>
      <c r="G922" t="s">
        <v>5110</v>
      </c>
      <c r="H922" t="s">
        <v>5111</v>
      </c>
      <c r="I922">
        <v>29.59</v>
      </c>
    </row>
    <row r="923" spans="1:9" ht="12.75">
      <c r="A923">
        <v>918</v>
      </c>
      <c r="B923" t="s">
        <v>5112</v>
      </c>
      <c r="C923" t="s">
        <v>3438</v>
      </c>
      <c r="D923" t="s">
        <v>2780</v>
      </c>
      <c r="E923" t="s">
        <v>2781</v>
      </c>
      <c r="F923" t="str">
        <f>"226/329"</f>
        <v>226/329</v>
      </c>
      <c r="G923" t="s">
        <v>5113</v>
      </c>
      <c r="H923" t="s">
        <v>5114</v>
      </c>
      <c r="I923">
        <v>29.59</v>
      </c>
    </row>
    <row r="924" spans="1:9" ht="12.75">
      <c r="A924">
        <v>919</v>
      </c>
      <c r="B924" t="s">
        <v>842</v>
      </c>
      <c r="C924" t="s">
        <v>1138</v>
      </c>
      <c r="D924" t="s">
        <v>2780</v>
      </c>
      <c r="E924" t="s">
        <v>2973</v>
      </c>
      <c r="F924" t="str">
        <f>"57/167"</f>
        <v>57/167</v>
      </c>
      <c r="G924" t="s">
        <v>0</v>
      </c>
      <c r="H924" t="s">
        <v>5115</v>
      </c>
      <c r="I924">
        <v>29.58</v>
      </c>
    </row>
    <row r="925" spans="1:9" ht="12.75">
      <c r="A925">
        <v>920</v>
      </c>
      <c r="B925" t="s">
        <v>5116</v>
      </c>
      <c r="C925" t="s">
        <v>5117</v>
      </c>
      <c r="D925" t="s">
        <v>2780</v>
      </c>
      <c r="E925" t="s">
        <v>2781</v>
      </c>
      <c r="F925" t="str">
        <f>"227/329"</f>
        <v>227/329</v>
      </c>
      <c r="G925" t="s">
        <v>3067</v>
      </c>
      <c r="H925" t="s">
        <v>5118</v>
      </c>
      <c r="I925">
        <v>29.58</v>
      </c>
    </row>
    <row r="926" spans="1:9" ht="12.75">
      <c r="A926">
        <v>921</v>
      </c>
      <c r="B926" t="s">
        <v>5119</v>
      </c>
      <c r="C926" t="s">
        <v>2966</v>
      </c>
      <c r="D926" t="s">
        <v>2780</v>
      </c>
      <c r="E926" t="s">
        <v>3209</v>
      </c>
      <c r="F926" t="str">
        <f>"10/62"</f>
        <v>10/62</v>
      </c>
      <c r="G926" t="s">
        <v>3067</v>
      </c>
      <c r="H926" t="s">
        <v>5120</v>
      </c>
      <c r="I926">
        <v>29.56</v>
      </c>
    </row>
    <row r="927" spans="1:9" ht="12.75">
      <c r="A927">
        <v>922</v>
      </c>
      <c r="B927" t="s">
        <v>3511</v>
      </c>
      <c r="C927" t="s">
        <v>3164</v>
      </c>
      <c r="D927" t="s">
        <v>2780</v>
      </c>
      <c r="E927" t="s">
        <v>2818</v>
      </c>
      <c r="F927" t="str">
        <f>"140/307"</f>
        <v>140/307</v>
      </c>
      <c r="G927" t="s">
        <v>5121</v>
      </c>
      <c r="H927" t="s">
        <v>5122</v>
      </c>
      <c r="I927">
        <v>29.56</v>
      </c>
    </row>
    <row r="928" spans="1:9" ht="12.75">
      <c r="A928">
        <v>923</v>
      </c>
      <c r="B928" t="s">
        <v>5123</v>
      </c>
      <c r="C928" t="s">
        <v>2830</v>
      </c>
      <c r="D928" t="s">
        <v>2780</v>
      </c>
      <c r="E928" t="s">
        <v>2818</v>
      </c>
      <c r="F928" t="str">
        <f>"141/307"</f>
        <v>141/307</v>
      </c>
      <c r="G928" t="s">
        <v>3322</v>
      </c>
      <c r="H928" t="s">
        <v>5124</v>
      </c>
      <c r="I928">
        <v>29.56</v>
      </c>
    </row>
    <row r="929" spans="1:9" ht="12.75">
      <c r="A929">
        <v>924</v>
      </c>
      <c r="B929" t="s">
        <v>5125</v>
      </c>
      <c r="C929" t="s">
        <v>43</v>
      </c>
      <c r="D929" t="s">
        <v>2780</v>
      </c>
      <c r="E929" t="s">
        <v>2973</v>
      </c>
      <c r="F929" t="str">
        <f>"58/167"</f>
        <v>58/167</v>
      </c>
      <c r="G929" t="s">
        <v>920</v>
      </c>
      <c r="H929" t="s">
        <v>5126</v>
      </c>
      <c r="I929">
        <v>29.55</v>
      </c>
    </row>
    <row r="930" spans="1:9" ht="12.75">
      <c r="A930">
        <v>925</v>
      </c>
      <c r="B930" t="s">
        <v>675</v>
      </c>
      <c r="C930" t="s">
        <v>39</v>
      </c>
      <c r="D930" t="s">
        <v>2780</v>
      </c>
      <c r="E930" t="s">
        <v>2781</v>
      </c>
      <c r="F930" t="str">
        <f>"228/329"</f>
        <v>228/329</v>
      </c>
      <c r="G930" t="s">
        <v>3067</v>
      </c>
      <c r="H930" t="s">
        <v>5127</v>
      </c>
      <c r="I930">
        <v>29.54</v>
      </c>
    </row>
    <row r="931" spans="1:9" ht="12.75">
      <c r="A931">
        <v>926</v>
      </c>
      <c r="B931" t="s">
        <v>5128</v>
      </c>
      <c r="C931" t="s">
        <v>3346</v>
      </c>
      <c r="D931" t="s">
        <v>2780</v>
      </c>
      <c r="E931" t="s">
        <v>2818</v>
      </c>
      <c r="F931" t="str">
        <f>"142/307"</f>
        <v>142/307</v>
      </c>
      <c r="G931" t="s">
        <v>3322</v>
      </c>
      <c r="H931" t="s">
        <v>5129</v>
      </c>
      <c r="I931">
        <v>29.54</v>
      </c>
    </row>
    <row r="932" spans="1:9" ht="12.75">
      <c r="A932">
        <v>927</v>
      </c>
      <c r="B932" t="s">
        <v>5130</v>
      </c>
      <c r="C932" t="s">
        <v>3464</v>
      </c>
      <c r="D932" t="s">
        <v>2780</v>
      </c>
      <c r="E932" t="s">
        <v>2818</v>
      </c>
      <c r="F932" t="str">
        <f>"143/307"</f>
        <v>143/307</v>
      </c>
      <c r="G932" t="s">
        <v>3322</v>
      </c>
      <c r="H932" t="s">
        <v>5131</v>
      </c>
      <c r="I932">
        <v>29.54</v>
      </c>
    </row>
    <row r="933" spans="1:9" ht="12.75">
      <c r="A933">
        <v>928</v>
      </c>
      <c r="B933" t="s">
        <v>5132</v>
      </c>
      <c r="C933" t="s">
        <v>2966</v>
      </c>
      <c r="D933" t="s">
        <v>2780</v>
      </c>
      <c r="E933" t="s">
        <v>2818</v>
      </c>
      <c r="F933" t="str">
        <f>"144/307"</f>
        <v>144/307</v>
      </c>
      <c r="G933" t="s">
        <v>3516</v>
      </c>
      <c r="H933" t="s">
        <v>5133</v>
      </c>
      <c r="I933">
        <v>29.54</v>
      </c>
    </row>
    <row r="934" spans="1:9" ht="12.75">
      <c r="A934">
        <v>929</v>
      </c>
      <c r="B934" t="s">
        <v>3491</v>
      </c>
      <c r="C934" t="s">
        <v>470</v>
      </c>
      <c r="D934" t="s">
        <v>2780</v>
      </c>
      <c r="E934" t="s">
        <v>2973</v>
      </c>
      <c r="F934" t="str">
        <f>"59/167"</f>
        <v>59/167</v>
      </c>
      <c r="G934" t="s">
        <v>2787</v>
      </c>
      <c r="H934" t="s">
        <v>5134</v>
      </c>
      <c r="I934">
        <v>29.53</v>
      </c>
    </row>
    <row r="935" spans="1:9" ht="12.75">
      <c r="A935">
        <v>930</v>
      </c>
      <c r="B935" t="s">
        <v>5135</v>
      </c>
      <c r="C935" t="s">
        <v>5136</v>
      </c>
      <c r="D935" t="s">
        <v>2780</v>
      </c>
      <c r="E935" t="s">
        <v>2973</v>
      </c>
      <c r="F935" t="str">
        <f>"60/167"</f>
        <v>60/167</v>
      </c>
      <c r="G935" t="s">
        <v>5137</v>
      </c>
      <c r="H935" t="s">
        <v>5138</v>
      </c>
      <c r="I935">
        <v>29.52</v>
      </c>
    </row>
    <row r="936" spans="1:9" ht="12.75">
      <c r="A936">
        <v>931</v>
      </c>
      <c r="B936" t="s">
        <v>5139</v>
      </c>
      <c r="C936" t="s">
        <v>3021</v>
      </c>
      <c r="D936" t="s">
        <v>2780</v>
      </c>
      <c r="E936" t="s">
        <v>2781</v>
      </c>
      <c r="F936" t="str">
        <f>"229/329"</f>
        <v>229/329</v>
      </c>
      <c r="G936" t="s">
        <v>1080</v>
      </c>
      <c r="H936" t="s">
        <v>5140</v>
      </c>
      <c r="I936">
        <v>29.52</v>
      </c>
    </row>
    <row r="937" spans="1:9" ht="12.75">
      <c r="A937">
        <v>932</v>
      </c>
      <c r="B937" t="s">
        <v>5141</v>
      </c>
      <c r="C937" t="s">
        <v>191</v>
      </c>
      <c r="D937" t="s">
        <v>2780</v>
      </c>
      <c r="E937" t="s">
        <v>2818</v>
      </c>
      <c r="F937" t="str">
        <f>"145/307"</f>
        <v>145/307</v>
      </c>
      <c r="G937" t="s">
        <v>3315</v>
      </c>
      <c r="H937" t="s">
        <v>5142</v>
      </c>
      <c r="I937">
        <v>29.52</v>
      </c>
    </row>
    <row r="938" spans="1:9" ht="12.75">
      <c r="A938">
        <v>933</v>
      </c>
      <c r="B938" t="s">
        <v>5143</v>
      </c>
      <c r="C938" t="s">
        <v>3141</v>
      </c>
      <c r="D938" t="s">
        <v>2780</v>
      </c>
      <c r="E938" t="s">
        <v>2823</v>
      </c>
      <c r="F938" t="str">
        <f>"329/504"</f>
        <v>329/504</v>
      </c>
      <c r="G938" t="s">
        <v>5144</v>
      </c>
      <c r="H938" t="s">
        <v>5145</v>
      </c>
      <c r="I938">
        <v>29.51</v>
      </c>
    </row>
    <row r="939" spans="1:9" ht="12.75">
      <c r="A939">
        <v>934</v>
      </c>
      <c r="B939" t="s">
        <v>5146</v>
      </c>
      <c r="C939" t="s">
        <v>3192</v>
      </c>
      <c r="D939" t="s">
        <v>2780</v>
      </c>
      <c r="E939" t="s">
        <v>2973</v>
      </c>
      <c r="F939" t="str">
        <f>"61/167"</f>
        <v>61/167</v>
      </c>
      <c r="G939" t="s">
        <v>720</v>
      </c>
      <c r="H939" t="s">
        <v>5147</v>
      </c>
      <c r="I939">
        <v>29.5</v>
      </c>
    </row>
    <row r="940" spans="1:9" ht="12.75">
      <c r="A940">
        <v>935</v>
      </c>
      <c r="B940" t="s">
        <v>5148</v>
      </c>
      <c r="C940" t="s">
        <v>5149</v>
      </c>
      <c r="D940" t="s">
        <v>2780</v>
      </c>
      <c r="E940" t="s">
        <v>2781</v>
      </c>
      <c r="F940" t="str">
        <f>"230/329"</f>
        <v>230/329</v>
      </c>
      <c r="G940" t="s">
        <v>3082</v>
      </c>
      <c r="H940" t="s">
        <v>5150</v>
      </c>
      <c r="I940">
        <v>29.5</v>
      </c>
    </row>
    <row r="941" spans="1:9" ht="12.75">
      <c r="A941">
        <v>936</v>
      </c>
      <c r="B941" t="s">
        <v>1101</v>
      </c>
      <c r="C941" t="s">
        <v>700</v>
      </c>
      <c r="D941" t="s">
        <v>2780</v>
      </c>
      <c r="E941" t="s">
        <v>2823</v>
      </c>
      <c r="F941" t="str">
        <f>"330/504"</f>
        <v>330/504</v>
      </c>
      <c r="G941" t="s">
        <v>5151</v>
      </c>
      <c r="H941" t="s">
        <v>5152</v>
      </c>
      <c r="I941">
        <v>29.49</v>
      </c>
    </row>
    <row r="942" spans="1:9" ht="12.75">
      <c r="A942">
        <v>937</v>
      </c>
      <c r="B942" t="s">
        <v>5153</v>
      </c>
      <c r="C942" t="s">
        <v>2966</v>
      </c>
      <c r="D942" t="s">
        <v>2780</v>
      </c>
      <c r="E942" t="s">
        <v>2823</v>
      </c>
      <c r="F942" t="str">
        <f>"331/504"</f>
        <v>331/504</v>
      </c>
      <c r="G942" t="s">
        <v>3088</v>
      </c>
      <c r="H942" t="s">
        <v>5154</v>
      </c>
      <c r="I942">
        <v>29.49</v>
      </c>
    </row>
    <row r="943" spans="1:9" ht="12.75">
      <c r="A943">
        <v>938</v>
      </c>
      <c r="B943" t="s">
        <v>5155</v>
      </c>
      <c r="C943" t="s">
        <v>3417</v>
      </c>
      <c r="D943" t="s">
        <v>2780</v>
      </c>
      <c r="E943" t="s">
        <v>2781</v>
      </c>
      <c r="F943" t="str">
        <f>"231/329"</f>
        <v>231/329</v>
      </c>
      <c r="G943" t="s">
        <v>446</v>
      </c>
      <c r="H943" t="s">
        <v>5156</v>
      </c>
      <c r="I943">
        <v>29.44</v>
      </c>
    </row>
    <row r="944" spans="1:9" ht="12.75">
      <c r="A944">
        <v>939</v>
      </c>
      <c r="B944" t="s">
        <v>5157</v>
      </c>
      <c r="C944" t="s">
        <v>2836</v>
      </c>
      <c r="D944" t="s">
        <v>2780</v>
      </c>
      <c r="E944" t="s">
        <v>2799</v>
      </c>
      <c r="F944" t="str">
        <f>"71/99"</f>
        <v>71/99</v>
      </c>
      <c r="G944" t="s">
        <v>5158</v>
      </c>
      <c r="H944" t="s">
        <v>5159</v>
      </c>
      <c r="I944">
        <v>29.44</v>
      </c>
    </row>
    <row r="945" spans="1:9" ht="12.75">
      <c r="A945">
        <v>940</v>
      </c>
      <c r="B945" t="s">
        <v>5160</v>
      </c>
      <c r="C945" t="s">
        <v>3201</v>
      </c>
      <c r="D945" t="s">
        <v>2780</v>
      </c>
      <c r="E945" t="s">
        <v>2799</v>
      </c>
      <c r="F945" t="str">
        <f>"72/99"</f>
        <v>72/99</v>
      </c>
      <c r="G945" t="s">
        <v>4966</v>
      </c>
      <c r="H945" t="s">
        <v>5161</v>
      </c>
      <c r="I945">
        <v>29.42</v>
      </c>
    </row>
    <row r="946" spans="1:9" ht="12.75">
      <c r="A946">
        <v>941</v>
      </c>
      <c r="B946" t="s">
        <v>5162</v>
      </c>
      <c r="C946" t="s">
        <v>2963</v>
      </c>
      <c r="D946" t="s">
        <v>2780</v>
      </c>
      <c r="E946" t="s">
        <v>2781</v>
      </c>
      <c r="F946" t="str">
        <f>"232/329"</f>
        <v>232/329</v>
      </c>
      <c r="G946" t="s">
        <v>5163</v>
      </c>
      <c r="H946" t="s">
        <v>5164</v>
      </c>
      <c r="I946">
        <v>29.42</v>
      </c>
    </row>
    <row r="947" spans="1:9" ht="12.75">
      <c r="A947">
        <v>942</v>
      </c>
      <c r="B947" t="s">
        <v>5165</v>
      </c>
      <c r="C947" t="s">
        <v>742</v>
      </c>
      <c r="D947" t="s">
        <v>2780</v>
      </c>
      <c r="E947" t="s">
        <v>2973</v>
      </c>
      <c r="F947" t="str">
        <f>"62/167"</f>
        <v>62/167</v>
      </c>
      <c r="G947" t="s">
        <v>5166</v>
      </c>
      <c r="H947" t="s">
        <v>5167</v>
      </c>
      <c r="I947">
        <v>29.42</v>
      </c>
    </row>
    <row r="948" spans="1:9" ht="12.75">
      <c r="A948">
        <v>943</v>
      </c>
      <c r="B948" t="s">
        <v>5168</v>
      </c>
      <c r="C948" t="s">
        <v>2826</v>
      </c>
      <c r="D948" t="s">
        <v>2780</v>
      </c>
      <c r="E948" t="s">
        <v>2818</v>
      </c>
      <c r="F948" t="str">
        <f>"146/307"</f>
        <v>146/307</v>
      </c>
      <c r="G948" t="s">
        <v>138</v>
      </c>
      <c r="H948" t="s">
        <v>5169</v>
      </c>
      <c r="I948">
        <v>29.4</v>
      </c>
    </row>
    <row r="949" spans="1:9" ht="12.75">
      <c r="A949">
        <v>944</v>
      </c>
      <c r="B949" t="s">
        <v>5170</v>
      </c>
      <c r="C949" t="s">
        <v>2840</v>
      </c>
      <c r="D949" t="s">
        <v>2780</v>
      </c>
      <c r="E949" t="s">
        <v>2823</v>
      </c>
      <c r="F949" t="str">
        <f>"332/504"</f>
        <v>332/504</v>
      </c>
      <c r="G949" t="s">
        <v>5163</v>
      </c>
      <c r="H949" t="s">
        <v>5171</v>
      </c>
      <c r="I949">
        <v>29.39</v>
      </c>
    </row>
    <row r="950" spans="1:9" ht="12.75">
      <c r="A950">
        <v>945</v>
      </c>
      <c r="B950" t="s">
        <v>5172</v>
      </c>
      <c r="C950" t="s">
        <v>3045</v>
      </c>
      <c r="D950" t="s">
        <v>2780</v>
      </c>
      <c r="E950" t="s">
        <v>2818</v>
      </c>
      <c r="F950" t="str">
        <f>"147/307"</f>
        <v>147/307</v>
      </c>
      <c r="G950" t="s">
        <v>5173</v>
      </c>
      <c r="H950" t="s">
        <v>5174</v>
      </c>
      <c r="I950">
        <v>29.38</v>
      </c>
    </row>
    <row r="951" spans="1:9" ht="12.75">
      <c r="A951">
        <v>946</v>
      </c>
      <c r="B951" t="s">
        <v>321</v>
      </c>
      <c r="C951" t="s">
        <v>2857</v>
      </c>
      <c r="D951" t="s">
        <v>2780</v>
      </c>
      <c r="E951" t="s">
        <v>2823</v>
      </c>
      <c r="F951" t="str">
        <f>"333/504"</f>
        <v>333/504</v>
      </c>
      <c r="G951" t="s">
        <v>3662</v>
      </c>
      <c r="H951" t="s">
        <v>5175</v>
      </c>
      <c r="I951">
        <v>29.38</v>
      </c>
    </row>
    <row r="952" spans="1:9" ht="12.75">
      <c r="A952">
        <v>947</v>
      </c>
      <c r="B952" t="s">
        <v>321</v>
      </c>
      <c r="C952" t="s">
        <v>5176</v>
      </c>
      <c r="D952" t="s">
        <v>2780</v>
      </c>
      <c r="E952" t="s">
        <v>3244</v>
      </c>
      <c r="F952" t="str">
        <f>"15/63"</f>
        <v>15/63</v>
      </c>
      <c r="G952" t="s">
        <v>3662</v>
      </c>
      <c r="H952" t="s">
        <v>5177</v>
      </c>
      <c r="I952">
        <v>29.38</v>
      </c>
    </row>
    <row r="953" spans="1:9" ht="12.75">
      <c r="A953">
        <v>948</v>
      </c>
      <c r="B953" t="s">
        <v>5178</v>
      </c>
      <c r="C953" t="s">
        <v>2830</v>
      </c>
      <c r="D953" t="s">
        <v>2780</v>
      </c>
      <c r="E953" t="s">
        <v>2823</v>
      </c>
      <c r="F953" t="str">
        <f>"334/504"</f>
        <v>334/504</v>
      </c>
      <c r="G953" t="s">
        <v>5179</v>
      </c>
      <c r="H953" t="s">
        <v>5180</v>
      </c>
      <c r="I953">
        <v>29.37</v>
      </c>
    </row>
    <row r="954" spans="1:9" ht="12.75">
      <c r="A954">
        <v>949</v>
      </c>
      <c r="B954" t="s">
        <v>5181</v>
      </c>
      <c r="C954" t="s">
        <v>2942</v>
      </c>
      <c r="D954" t="s">
        <v>2780</v>
      </c>
      <c r="E954" t="s">
        <v>2973</v>
      </c>
      <c r="F954" t="str">
        <f>"63/167"</f>
        <v>63/167</v>
      </c>
      <c r="G954" t="s">
        <v>5182</v>
      </c>
      <c r="H954" t="s">
        <v>5183</v>
      </c>
      <c r="I954">
        <v>29.33</v>
      </c>
    </row>
    <row r="955" spans="1:9" ht="12.75">
      <c r="A955">
        <v>950</v>
      </c>
      <c r="B955" t="s">
        <v>5184</v>
      </c>
      <c r="C955" t="s">
        <v>2836</v>
      </c>
      <c r="D955" t="s">
        <v>2780</v>
      </c>
      <c r="E955" t="s">
        <v>2781</v>
      </c>
      <c r="F955" t="str">
        <f>"233/329"</f>
        <v>233/329</v>
      </c>
      <c r="G955" t="s">
        <v>3095</v>
      </c>
      <c r="H955" t="s">
        <v>5185</v>
      </c>
      <c r="I955">
        <v>29.33</v>
      </c>
    </row>
    <row r="956" spans="1:9" ht="12.75">
      <c r="A956">
        <v>951</v>
      </c>
      <c r="B956" t="s">
        <v>5186</v>
      </c>
      <c r="C956" t="s">
        <v>5187</v>
      </c>
      <c r="D956" t="s">
        <v>3031</v>
      </c>
      <c r="E956" t="s">
        <v>3032</v>
      </c>
      <c r="F956" t="str">
        <f>"24/54"</f>
        <v>24/54</v>
      </c>
      <c r="G956" t="s">
        <v>5188</v>
      </c>
      <c r="H956" t="s">
        <v>5189</v>
      </c>
      <c r="I956">
        <v>29.33</v>
      </c>
    </row>
    <row r="957" spans="1:9" ht="12.75">
      <c r="A957">
        <v>952</v>
      </c>
      <c r="B957" t="s">
        <v>5190</v>
      </c>
      <c r="C957" t="s">
        <v>470</v>
      </c>
      <c r="D957" t="s">
        <v>2780</v>
      </c>
      <c r="E957" t="s">
        <v>2818</v>
      </c>
      <c r="F957" t="str">
        <f>"148/307"</f>
        <v>148/307</v>
      </c>
      <c r="G957" t="s">
        <v>3289</v>
      </c>
      <c r="H957" t="s">
        <v>5191</v>
      </c>
      <c r="I957">
        <v>29.32</v>
      </c>
    </row>
    <row r="958" spans="1:9" ht="12.75">
      <c r="A958">
        <v>953</v>
      </c>
      <c r="B958" t="s">
        <v>5192</v>
      </c>
      <c r="C958" t="s">
        <v>2906</v>
      </c>
      <c r="D958" t="s">
        <v>2780</v>
      </c>
      <c r="E958" t="s">
        <v>2823</v>
      </c>
      <c r="F958" t="str">
        <f>"335/504"</f>
        <v>335/504</v>
      </c>
      <c r="G958" t="s">
        <v>3391</v>
      </c>
      <c r="H958" t="s">
        <v>5193</v>
      </c>
      <c r="I958">
        <v>29.32</v>
      </c>
    </row>
    <row r="959" spans="1:9" ht="12.75">
      <c r="A959">
        <v>954</v>
      </c>
      <c r="B959" t="s">
        <v>5194</v>
      </c>
      <c r="C959" t="s">
        <v>3057</v>
      </c>
      <c r="D959" t="s">
        <v>2780</v>
      </c>
      <c r="E959" t="s">
        <v>2973</v>
      </c>
      <c r="F959" t="str">
        <f>"64/167"</f>
        <v>64/167</v>
      </c>
      <c r="G959" t="s">
        <v>5195</v>
      </c>
      <c r="H959" t="s">
        <v>5196</v>
      </c>
      <c r="I959">
        <v>29.32</v>
      </c>
    </row>
    <row r="960" spans="1:9" ht="12.75">
      <c r="A960">
        <v>955</v>
      </c>
      <c r="B960" t="s">
        <v>5197</v>
      </c>
      <c r="C960" t="s">
        <v>3464</v>
      </c>
      <c r="D960" t="s">
        <v>2780</v>
      </c>
      <c r="E960" t="s">
        <v>2823</v>
      </c>
      <c r="F960" t="str">
        <f>"336/504"</f>
        <v>336/504</v>
      </c>
      <c r="G960" t="s">
        <v>3303</v>
      </c>
      <c r="H960" t="s">
        <v>5198</v>
      </c>
      <c r="I960">
        <v>29.32</v>
      </c>
    </row>
    <row r="961" spans="1:9" ht="12.75">
      <c r="A961">
        <v>956</v>
      </c>
      <c r="B961" t="s">
        <v>5199</v>
      </c>
      <c r="C961" t="s">
        <v>2826</v>
      </c>
      <c r="D961" t="s">
        <v>2780</v>
      </c>
      <c r="E961" t="s">
        <v>2973</v>
      </c>
      <c r="F961" t="str">
        <f>"65/167"</f>
        <v>65/167</v>
      </c>
      <c r="G961" t="s">
        <v>5200</v>
      </c>
      <c r="H961" t="s">
        <v>5201</v>
      </c>
      <c r="I961">
        <v>29.31</v>
      </c>
    </row>
    <row r="962" spans="1:9" ht="12.75">
      <c r="A962">
        <v>957</v>
      </c>
      <c r="B962" t="s">
        <v>5202</v>
      </c>
      <c r="C962" t="s">
        <v>3205</v>
      </c>
      <c r="D962" t="s">
        <v>2780</v>
      </c>
      <c r="E962" t="s">
        <v>2818</v>
      </c>
      <c r="F962" t="str">
        <f>"149/307"</f>
        <v>149/307</v>
      </c>
      <c r="G962" t="s">
        <v>3391</v>
      </c>
      <c r="H962" t="s">
        <v>5203</v>
      </c>
      <c r="I962">
        <v>29.31</v>
      </c>
    </row>
    <row r="963" spans="1:9" ht="12.75">
      <c r="A963">
        <v>958</v>
      </c>
      <c r="B963" t="s">
        <v>5204</v>
      </c>
      <c r="C963" t="s">
        <v>2963</v>
      </c>
      <c r="D963" t="s">
        <v>2780</v>
      </c>
      <c r="E963" t="s">
        <v>2799</v>
      </c>
      <c r="F963" t="str">
        <f>"73/99"</f>
        <v>73/99</v>
      </c>
      <c r="G963" t="s">
        <v>155</v>
      </c>
      <c r="H963" t="s">
        <v>5205</v>
      </c>
      <c r="I963">
        <v>29.29</v>
      </c>
    </row>
    <row r="964" spans="1:9" ht="12.75">
      <c r="A964">
        <v>959</v>
      </c>
      <c r="B964" t="s">
        <v>5206</v>
      </c>
      <c r="C964" t="s">
        <v>5207</v>
      </c>
      <c r="D964" t="s">
        <v>2780</v>
      </c>
      <c r="E964" t="s">
        <v>2823</v>
      </c>
      <c r="F964" t="str">
        <f>"337/504"</f>
        <v>337/504</v>
      </c>
      <c r="G964" t="s">
        <v>5208</v>
      </c>
      <c r="H964" t="s">
        <v>5209</v>
      </c>
      <c r="I964">
        <v>29.28</v>
      </c>
    </row>
    <row r="965" spans="1:9" ht="12.75">
      <c r="A965">
        <v>960</v>
      </c>
      <c r="B965" t="s">
        <v>2856</v>
      </c>
      <c r="C965" t="s">
        <v>3625</v>
      </c>
      <c r="D965" t="s">
        <v>2780</v>
      </c>
      <c r="E965" t="s">
        <v>2786</v>
      </c>
      <c r="F965" t="str">
        <f>"48/58"</f>
        <v>48/58</v>
      </c>
      <c r="G965" t="s">
        <v>3662</v>
      </c>
      <c r="H965" t="s">
        <v>5210</v>
      </c>
      <c r="I965">
        <v>29.28</v>
      </c>
    </row>
    <row r="966" spans="1:9" ht="12.75">
      <c r="A966">
        <v>961</v>
      </c>
      <c r="B966" t="s">
        <v>2856</v>
      </c>
      <c r="C966" t="s">
        <v>5211</v>
      </c>
      <c r="D966" t="s">
        <v>2780</v>
      </c>
      <c r="E966" t="s">
        <v>2818</v>
      </c>
      <c r="F966" t="str">
        <f>"150/307"</f>
        <v>150/307</v>
      </c>
      <c r="G966" t="s">
        <v>3662</v>
      </c>
      <c r="H966" t="s">
        <v>5212</v>
      </c>
      <c r="I966">
        <v>29.27</v>
      </c>
    </row>
    <row r="967" spans="1:9" ht="12.75">
      <c r="A967">
        <v>962</v>
      </c>
      <c r="B967" t="s">
        <v>5213</v>
      </c>
      <c r="C967" t="s">
        <v>3017</v>
      </c>
      <c r="D967" t="s">
        <v>2780</v>
      </c>
      <c r="E967" t="s">
        <v>2781</v>
      </c>
      <c r="F967" t="str">
        <f>"234/329"</f>
        <v>234/329</v>
      </c>
      <c r="G967" t="s">
        <v>5214</v>
      </c>
      <c r="H967" t="s">
        <v>5215</v>
      </c>
      <c r="I967">
        <v>29.26</v>
      </c>
    </row>
    <row r="968" spans="1:9" ht="12.75">
      <c r="A968">
        <v>963</v>
      </c>
      <c r="B968" t="s">
        <v>841</v>
      </c>
      <c r="C968" t="s">
        <v>3464</v>
      </c>
      <c r="D968" t="s">
        <v>2780</v>
      </c>
      <c r="E968" t="s">
        <v>2781</v>
      </c>
      <c r="F968" t="str">
        <f>"235/329"</f>
        <v>235/329</v>
      </c>
      <c r="G968" t="s">
        <v>5216</v>
      </c>
      <c r="H968" t="s">
        <v>5217</v>
      </c>
      <c r="I968">
        <v>29.25</v>
      </c>
    </row>
    <row r="969" spans="1:9" ht="12.75">
      <c r="A969">
        <v>964</v>
      </c>
      <c r="B969" t="s">
        <v>5218</v>
      </c>
      <c r="C969" t="s">
        <v>3346</v>
      </c>
      <c r="D969" t="s">
        <v>2780</v>
      </c>
      <c r="E969" t="s">
        <v>2818</v>
      </c>
      <c r="F969" t="str">
        <f>"151/307"</f>
        <v>151/307</v>
      </c>
      <c r="G969" t="s">
        <v>155</v>
      </c>
      <c r="H969" t="s">
        <v>5219</v>
      </c>
      <c r="I969">
        <v>29.22</v>
      </c>
    </row>
    <row r="970" spans="1:9" ht="12.75">
      <c r="A970">
        <v>965</v>
      </c>
      <c r="B970" t="s">
        <v>5220</v>
      </c>
      <c r="C970" t="s">
        <v>5221</v>
      </c>
      <c r="D970" t="s">
        <v>2780</v>
      </c>
      <c r="E970" t="s">
        <v>2823</v>
      </c>
      <c r="F970" t="str">
        <f>"338/504"</f>
        <v>338/504</v>
      </c>
      <c r="G970" t="s">
        <v>5222</v>
      </c>
      <c r="H970" t="s">
        <v>5223</v>
      </c>
      <c r="I970">
        <v>29.17</v>
      </c>
    </row>
    <row r="971" spans="1:9" ht="12.75">
      <c r="A971">
        <v>966</v>
      </c>
      <c r="B971" t="s">
        <v>5224</v>
      </c>
      <c r="C971" t="s">
        <v>2840</v>
      </c>
      <c r="D971" t="s">
        <v>2780</v>
      </c>
      <c r="E971" t="s">
        <v>2823</v>
      </c>
      <c r="F971" t="str">
        <f>"339/504"</f>
        <v>339/504</v>
      </c>
      <c r="G971" t="s">
        <v>5225</v>
      </c>
      <c r="H971" t="s">
        <v>5226</v>
      </c>
      <c r="I971">
        <v>29.14</v>
      </c>
    </row>
    <row r="972" spans="1:9" ht="12.75">
      <c r="A972">
        <v>967</v>
      </c>
      <c r="B972" t="s">
        <v>5227</v>
      </c>
      <c r="C972" t="s">
        <v>868</v>
      </c>
      <c r="D972" t="s">
        <v>2780</v>
      </c>
      <c r="E972" t="s">
        <v>2823</v>
      </c>
      <c r="F972" t="str">
        <f>"340/504"</f>
        <v>340/504</v>
      </c>
      <c r="G972" t="s">
        <v>5222</v>
      </c>
      <c r="H972" t="s">
        <v>5228</v>
      </c>
      <c r="I972">
        <v>29.13</v>
      </c>
    </row>
    <row r="973" spans="1:9" ht="12.75">
      <c r="A973">
        <v>968</v>
      </c>
      <c r="B973" t="s">
        <v>5229</v>
      </c>
      <c r="C973" t="s">
        <v>341</v>
      </c>
      <c r="D973" t="s">
        <v>2780</v>
      </c>
      <c r="E973" t="s">
        <v>2786</v>
      </c>
      <c r="F973" t="str">
        <f>"49/58"</f>
        <v>49/58</v>
      </c>
      <c r="G973" t="s">
        <v>4969</v>
      </c>
      <c r="H973" t="s">
        <v>5230</v>
      </c>
      <c r="I973">
        <v>29.12</v>
      </c>
    </row>
    <row r="974" spans="1:9" ht="12.75">
      <c r="A974">
        <v>969</v>
      </c>
      <c r="B974" t="s">
        <v>5231</v>
      </c>
      <c r="C974" t="s">
        <v>3098</v>
      </c>
      <c r="D974" t="s">
        <v>2780</v>
      </c>
      <c r="E974" t="s">
        <v>2823</v>
      </c>
      <c r="F974" t="str">
        <f>"341/504"</f>
        <v>341/504</v>
      </c>
      <c r="G974" t="s">
        <v>2994</v>
      </c>
      <c r="H974" t="s">
        <v>5232</v>
      </c>
      <c r="I974">
        <v>29.12</v>
      </c>
    </row>
    <row r="975" spans="1:9" ht="12.75">
      <c r="A975">
        <v>970</v>
      </c>
      <c r="B975" t="s">
        <v>5233</v>
      </c>
      <c r="C975" t="s">
        <v>5234</v>
      </c>
      <c r="D975" t="s">
        <v>3031</v>
      </c>
      <c r="E975" t="s">
        <v>3032</v>
      </c>
      <c r="F975" t="str">
        <f>"25/54"</f>
        <v>25/54</v>
      </c>
      <c r="G975" t="s">
        <v>155</v>
      </c>
      <c r="H975" t="s">
        <v>5235</v>
      </c>
      <c r="I975">
        <v>29.12</v>
      </c>
    </row>
    <row r="976" spans="1:9" ht="12.75">
      <c r="A976">
        <v>971</v>
      </c>
      <c r="B976" t="s">
        <v>5236</v>
      </c>
      <c r="C976" t="s">
        <v>2963</v>
      </c>
      <c r="D976" t="s">
        <v>2780</v>
      </c>
      <c r="E976" t="s">
        <v>2973</v>
      </c>
      <c r="F976" t="str">
        <f>"66/167"</f>
        <v>66/167</v>
      </c>
      <c r="G976" t="s">
        <v>720</v>
      </c>
      <c r="H976" t="s">
        <v>5237</v>
      </c>
      <c r="I976">
        <v>29.09</v>
      </c>
    </row>
    <row r="977" spans="1:9" ht="12.75">
      <c r="A977">
        <v>972</v>
      </c>
      <c r="B977" t="s">
        <v>5238</v>
      </c>
      <c r="C977" t="s">
        <v>2779</v>
      </c>
      <c r="D977" t="s">
        <v>2780</v>
      </c>
      <c r="E977" t="s">
        <v>2923</v>
      </c>
      <c r="F977" t="str">
        <f>"6/7"</f>
        <v>6/7</v>
      </c>
      <c r="G977" t="s">
        <v>434</v>
      </c>
      <c r="H977" t="s">
        <v>5239</v>
      </c>
      <c r="I977">
        <v>29.07</v>
      </c>
    </row>
    <row r="978" spans="1:9" ht="12.75">
      <c r="A978">
        <v>973</v>
      </c>
      <c r="B978" t="s">
        <v>5240</v>
      </c>
      <c r="C978" t="s">
        <v>3346</v>
      </c>
      <c r="D978" t="s">
        <v>2780</v>
      </c>
      <c r="E978" t="s">
        <v>3209</v>
      </c>
      <c r="F978" t="str">
        <f>"11/62"</f>
        <v>11/62</v>
      </c>
      <c r="G978" t="s">
        <v>5241</v>
      </c>
      <c r="H978" t="s">
        <v>5242</v>
      </c>
      <c r="I978">
        <v>29.05</v>
      </c>
    </row>
    <row r="979" spans="1:9" ht="12.75">
      <c r="A979">
        <v>974</v>
      </c>
      <c r="B979" t="s">
        <v>5243</v>
      </c>
      <c r="C979" t="s">
        <v>3087</v>
      </c>
      <c r="D979" t="s">
        <v>2780</v>
      </c>
      <c r="E979" t="s">
        <v>2818</v>
      </c>
      <c r="F979" t="str">
        <f>"152/307"</f>
        <v>152/307</v>
      </c>
      <c r="G979" t="s">
        <v>4882</v>
      </c>
      <c r="H979" t="s">
        <v>5244</v>
      </c>
      <c r="I979">
        <v>29.01</v>
      </c>
    </row>
    <row r="980" spans="1:9" ht="12.75">
      <c r="A980">
        <v>975</v>
      </c>
      <c r="B980" t="s">
        <v>5245</v>
      </c>
      <c r="C980" t="s">
        <v>39</v>
      </c>
      <c r="D980" t="s">
        <v>2780</v>
      </c>
      <c r="E980" t="s">
        <v>2781</v>
      </c>
      <c r="F980" t="str">
        <f>"236/329"</f>
        <v>236/329</v>
      </c>
      <c r="G980" t="s">
        <v>459</v>
      </c>
      <c r="H980" t="s">
        <v>5246</v>
      </c>
      <c r="I980">
        <v>29</v>
      </c>
    </row>
    <row r="981" spans="1:9" ht="12.75">
      <c r="A981">
        <v>976</v>
      </c>
      <c r="B981" t="s">
        <v>5247</v>
      </c>
      <c r="C981" t="s">
        <v>2865</v>
      </c>
      <c r="D981" t="s">
        <v>2780</v>
      </c>
      <c r="E981" t="s">
        <v>2818</v>
      </c>
      <c r="F981" t="str">
        <f>"153/307"</f>
        <v>153/307</v>
      </c>
      <c r="G981" t="s">
        <v>5248</v>
      </c>
      <c r="H981" t="s">
        <v>5249</v>
      </c>
      <c r="I981">
        <v>29</v>
      </c>
    </row>
    <row r="982" spans="1:9" ht="12.75">
      <c r="A982">
        <v>977</v>
      </c>
      <c r="B982" t="s">
        <v>5250</v>
      </c>
      <c r="C982" t="s">
        <v>2807</v>
      </c>
      <c r="D982" t="s">
        <v>2780</v>
      </c>
      <c r="E982" t="s">
        <v>2781</v>
      </c>
      <c r="F982" t="str">
        <f>"237/329"</f>
        <v>237/329</v>
      </c>
      <c r="G982" t="s">
        <v>1139</v>
      </c>
      <c r="H982" t="s">
        <v>5251</v>
      </c>
      <c r="I982">
        <v>28.99</v>
      </c>
    </row>
    <row r="983" spans="1:9" ht="12.75">
      <c r="A983">
        <v>978</v>
      </c>
      <c r="B983" t="s">
        <v>5252</v>
      </c>
      <c r="C983" t="s">
        <v>54</v>
      </c>
      <c r="D983" t="s">
        <v>2780</v>
      </c>
      <c r="E983" t="s">
        <v>2818</v>
      </c>
      <c r="F983" t="str">
        <f>"154/307"</f>
        <v>154/307</v>
      </c>
      <c r="G983" t="s">
        <v>5253</v>
      </c>
      <c r="H983" t="s">
        <v>5254</v>
      </c>
      <c r="I983">
        <v>28.98</v>
      </c>
    </row>
    <row r="984" spans="1:9" ht="12.75">
      <c r="A984">
        <v>979</v>
      </c>
      <c r="B984" t="s">
        <v>5255</v>
      </c>
      <c r="C984" t="s">
        <v>5256</v>
      </c>
      <c r="D984" t="s">
        <v>2780</v>
      </c>
      <c r="E984" t="s">
        <v>2823</v>
      </c>
      <c r="F984" t="str">
        <f>"342/504"</f>
        <v>342/504</v>
      </c>
      <c r="G984" t="s">
        <v>739</v>
      </c>
      <c r="H984" t="s">
        <v>5257</v>
      </c>
      <c r="I984">
        <v>28.96</v>
      </c>
    </row>
    <row r="985" spans="1:9" ht="12.75">
      <c r="A985">
        <v>980</v>
      </c>
      <c r="B985" t="s">
        <v>5258</v>
      </c>
      <c r="C985" t="s">
        <v>5259</v>
      </c>
      <c r="D985" t="s">
        <v>3031</v>
      </c>
      <c r="E985" t="s">
        <v>3032</v>
      </c>
      <c r="F985" t="str">
        <f>"26/54"</f>
        <v>26/54</v>
      </c>
      <c r="G985" t="s">
        <v>2787</v>
      </c>
      <c r="H985" t="s">
        <v>5260</v>
      </c>
      <c r="I985">
        <v>28.96</v>
      </c>
    </row>
    <row r="986" spans="1:9" ht="12.75">
      <c r="A986">
        <v>981</v>
      </c>
      <c r="B986" t="s">
        <v>5261</v>
      </c>
      <c r="C986" t="s">
        <v>5262</v>
      </c>
      <c r="D986" t="s">
        <v>3031</v>
      </c>
      <c r="E986" t="s">
        <v>3244</v>
      </c>
      <c r="F986" t="str">
        <f>"16/63"</f>
        <v>16/63</v>
      </c>
      <c r="G986" t="s">
        <v>4888</v>
      </c>
      <c r="H986" t="s">
        <v>5263</v>
      </c>
      <c r="I986">
        <v>28.96</v>
      </c>
    </row>
    <row r="987" spans="1:9" ht="12.75">
      <c r="A987">
        <v>982</v>
      </c>
      <c r="B987" t="s">
        <v>2835</v>
      </c>
      <c r="C987" t="s">
        <v>2865</v>
      </c>
      <c r="D987" t="s">
        <v>2780</v>
      </c>
      <c r="E987" t="s">
        <v>2818</v>
      </c>
      <c r="F987" t="str">
        <f>"155/307"</f>
        <v>155/307</v>
      </c>
      <c r="G987" t="s">
        <v>4888</v>
      </c>
      <c r="H987" t="s">
        <v>5264</v>
      </c>
      <c r="I987">
        <v>28.95</v>
      </c>
    </row>
    <row r="988" spans="1:9" ht="12.75">
      <c r="A988">
        <v>983</v>
      </c>
      <c r="B988" t="s">
        <v>5265</v>
      </c>
      <c r="C988" t="s">
        <v>3008</v>
      </c>
      <c r="D988" t="s">
        <v>2780</v>
      </c>
      <c r="E988" t="s">
        <v>2823</v>
      </c>
      <c r="F988" t="str">
        <f>"343/504"</f>
        <v>343/504</v>
      </c>
      <c r="G988" t="s">
        <v>3289</v>
      </c>
      <c r="H988" t="s">
        <v>5266</v>
      </c>
      <c r="I988">
        <v>28.95</v>
      </c>
    </row>
    <row r="989" spans="1:9" ht="12.75">
      <c r="A989">
        <v>984</v>
      </c>
      <c r="B989" t="s">
        <v>5267</v>
      </c>
      <c r="C989" t="s">
        <v>2779</v>
      </c>
      <c r="D989" t="s">
        <v>2780</v>
      </c>
      <c r="E989" t="s">
        <v>2823</v>
      </c>
      <c r="F989" t="str">
        <f>"344/504"</f>
        <v>344/504</v>
      </c>
      <c r="G989" t="s">
        <v>5079</v>
      </c>
      <c r="H989" t="s">
        <v>5268</v>
      </c>
      <c r="I989">
        <v>28.94</v>
      </c>
    </row>
    <row r="990" spans="1:9" ht="12.75">
      <c r="A990">
        <v>985</v>
      </c>
      <c r="B990" t="s">
        <v>5269</v>
      </c>
      <c r="C990" t="s">
        <v>3108</v>
      </c>
      <c r="D990" t="s">
        <v>2780</v>
      </c>
      <c r="E990" t="s">
        <v>2818</v>
      </c>
      <c r="F990" t="str">
        <f>"156/307"</f>
        <v>156/307</v>
      </c>
      <c r="G990" t="s">
        <v>4946</v>
      </c>
      <c r="H990" t="s">
        <v>5270</v>
      </c>
      <c r="I990">
        <v>28.93</v>
      </c>
    </row>
    <row r="991" spans="1:9" ht="12.75">
      <c r="A991">
        <v>986</v>
      </c>
      <c r="B991" t="s">
        <v>5271</v>
      </c>
      <c r="C991" t="s">
        <v>504</v>
      </c>
      <c r="D991" t="s">
        <v>2780</v>
      </c>
      <c r="E991" t="s">
        <v>2781</v>
      </c>
      <c r="F991" t="str">
        <f>"238/329"</f>
        <v>238/329</v>
      </c>
      <c r="G991" t="s">
        <v>49</v>
      </c>
      <c r="H991" t="s">
        <v>5272</v>
      </c>
      <c r="I991">
        <v>28.91</v>
      </c>
    </row>
    <row r="992" spans="1:9" ht="12.75">
      <c r="A992">
        <v>987</v>
      </c>
      <c r="B992" t="s">
        <v>5273</v>
      </c>
      <c r="C992" t="s">
        <v>2865</v>
      </c>
      <c r="D992" t="s">
        <v>2780</v>
      </c>
      <c r="E992" t="s">
        <v>2799</v>
      </c>
      <c r="F992" t="str">
        <f>"74/99"</f>
        <v>74/99</v>
      </c>
      <c r="G992" t="s">
        <v>5274</v>
      </c>
      <c r="H992" t="s">
        <v>5275</v>
      </c>
      <c r="I992">
        <v>28.91</v>
      </c>
    </row>
    <row r="993" spans="1:9" ht="12.75">
      <c r="A993">
        <v>988</v>
      </c>
      <c r="B993" t="s">
        <v>3311</v>
      </c>
      <c r="C993" t="s">
        <v>2966</v>
      </c>
      <c r="D993" t="s">
        <v>2780</v>
      </c>
      <c r="E993" t="s">
        <v>2823</v>
      </c>
      <c r="F993" t="str">
        <f>"345/504"</f>
        <v>345/504</v>
      </c>
      <c r="G993" t="s">
        <v>2787</v>
      </c>
      <c r="H993" t="s">
        <v>5276</v>
      </c>
      <c r="I993">
        <v>28.9</v>
      </c>
    </row>
    <row r="994" spans="1:9" ht="12.75">
      <c r="A994">
        <v>989</v>
      </c>
      <c r="B994" t="s">
        <v>3308</v>
      </c>
      <c r="C994" t="s">
        <v>84</v>
      </c>
      <c r="D994" t="s">
        <v>2780</v>
      </c>
      <c r="E994" t="s">
        <v>2973</v>
      </c>
      <c r="F994" t="str">
        <f>"67/167"</f>
        <v>67/167</v>
      </c>
      <c r="G994" t="s">
        <v>3158</v>
      </c>
      <c r="H994" t="s">
        <v>5277</v>
      </c>
      <c r="I994">
        <v>28.9</v>
      </c>
    </row>
    <row r="995" spans="1:9" ht="12.75">
      <c r="A995">
        <v>990</v>
      </c>
      <c r="B995" t="s">
        <v>5278</v>
      </c>
      <c r="C995" t="s">
        <v>3337</v>
      </c>
      <c r="D995" t="s">
        <v>2780</v>
      </c>
      <c r="E995" t="s">
        <v>2781</v>
      </c>
      <c r="F995" t="str">
        <f>"239/329"</f>
        <v>239/329</v>
      </c>
      <c r="G995" t="s">
        <v>5279</v>
      </c>
      <c r="H995" t="s">
        <v>5280</v>
      </c>
      <c r="I995">
        <v>28.9</v>
      </c>
    </row>
    <row r="996" spans="1:9" ht="12.75">
      <c r="A996">
        <v>991</v>
      </c>
      <c r="B996" t="s">
        <v>5281</v>
      </c>
      <c r="C996" t="s">
        <v>2966</v>
      </c>
      <c r="D996" t="s">
        <v>2780</v>
      </c>
      <c r="E996" t="s">
        <v>3209</v>
      </c>
      <c r="F996" t="str">
        <f>"12/62"</f>
        <v>12/62</v>
      </c>
      <c r="G996" t="s">
        <v>5282</v>
      </c>
      <c r="H996" t="s">
        <v>5283</v>
      </c>
      <c r="I996">
        <v>28.88</v>
      </c>
    </row>
    <row r="997" spans="1:9" ht="12.75">
      <c r="A997">
        <v>992</v>
      </c>
      <c r="B997" t="s">
        <v>5284</v>
      </c>
      <c r="C997" t="s">
        <v>504</v>
      </c>
      <c r="D997" t="s">
        <v>2780</v>
      </c>
      <c r="E997" t="s">
        <v>2823</v>
      </c>
      <c r="F997" t="str">
        <f>"346/504"</f>
        <v>346/504</v>
      </c>
      <c r="G997" t="s">
        <v>5285</v>
      </c>
      <c r="H997" t="s">
        <v>5286</v>
      </c>
      <c r="I997">
        <v>28.88</v>
      </c>
    </row>
    <row r="998" spans="1:9" ht="12.75">
      <c r="A998">
        <v>993</v>
      </c>
      <c r="B998" t="s">
        <v>1144</v>
      </c>
      <c r="C998" t="s">
        <v>2817</v>
      </c>
      <c r="D998" t="s">
        <v>2780</v>
      </c>
      <c r="E998" t="s">
        <v>3209</v>
      </c>
      <c r="F998" t="str">
        <f>"13/62"</f>
        <v>13/62</v>
      </c>
      <c r="G998" t="s">
        <v>5287</v>
      </c>
      <c r="H998" t="s">
        <v>5288</v>
      </c>
      <c r="I998">
        <v>28.88</v>
      </c>
    </row>
    <row r="999" spans="1:9" ht="12.75">
      <c r="A999">
        <v>994</v>
      </c>
      <c r="B999" t="s">
        <v>5289</v>
      </c>
      <c r="C999" t="s">
        <v>2963</v>
      </c>
      <c r="D999" t="s">
        <v>2780</v>
      </c>
      <c r="E999" t="s">
        <v>2818</v>
      </c>
      <c r="F999" t="str">
        <f>"157/307"</f>
        <v>157/307</v>
      </c>
      <c r="G999" t="s">
        <v>3289</v>
      </c>
      <c r="H999" t="s">
        <v>5290</v>
      </c>
      <c r="I999">
        <v>28.88</v>
      </c>
    </row>
    <row r="1000" spans="1:9" ht="12.75">
      <c r="A1000">
        <v>995</v>
      </c>
      <c r="B1000" t="s">
        <v>5291</v>
      </c>
      <c r="C1000" t="s">
        <v>2810</v>
      </c>
      <c r="D1000" t="s">
        <v>2780</v>
      </c>
      <c r="E1000" t="s">
        <v>2823</v>
      </c>
      <c r="F1000" t="str">
        <f>"347/504"</f>
        <v>347/504</v>
      </c>
      <c r="G1000" t="s">
        <v>59</v>
      </c>
      <c r="H1000" t="s">
        <v>5292</v>
      </c>
      <c r="I1000">
        <v>28.88</v>
      </c>
    </row>
    <row r="1001" spans="1:9" ht="12.75">
      <c r="A1001">
        <v>996</v>
      </c>
      <c r="B1001" t="s">
        <v>5293</v>
      </c>
      <c r="C1001" t="s">
        <v>1160</v>
      </c>
      <c r="D1001" t="s">
        <v>2780</v>
      </c>
      <c r="E1001" t="s">
        <v>3209</v>
      </c>
      <c r="F1001" t="str">
        <f>"14/62"</f>
        <v>14/62</v>
      </c>
      <c r="G1001" t="s">
        <v>5282</v>
      </c>
      <c r="H1001" t="s">
        <v>5294</v>
      </c>
      <c r="I1001">
        <v>28.88</v>
      </c>
    </row>
    <row r="1002" spans="1:9" ht="12.75">
      <c r="A1002">
        <v>997</v>
      </c>
      <c r="B1002" t="s">
        <v>5295</v>
      </c>
      <c r="C1002" t="s">
        <v>5296</v>
      </c>
      <c r="D1002" t="s">
        <v>3031</v>
      </c>
      <c r="E1002" t="s">
        <v>3032</v>
      </c>
      <c r="F1002" t="str">
        <f>"27/54"</f>
        <v>27/54</v>
      </c>
      <c r="G1002" t="s">
        <v>5297</v>
      </c>
      <c r="H1002" t="s">
        <v>5298</v>
      </c>
      <c r="I1002">
        <v>28.87</v>
      </c>
    </row>
    <row r="1003" spans="1:9" ht="12.75">
      <c r="A1003">
        <v>998</v>
      </c>
      <c r="B1003" t="s">
        <v>2945</v>
      </c>
      <c r="C1003" t="s">
        <v>2861</v>
      </c>
      <c r="D1003" t="s">
        <v>2780</v>
      </c>
      <c r="E1003" t="s">
        <v>2818</v>
      </c>
      <c r="F1003" t="str">
        <f>"158/307"</f>
        <v>158/307</v>
      </c>
      <c r="G1003" t="s">
        <v>3391</v>
      </c>
      <c r="H1003" t="s">
        <v>5299</v>
      </c>
      <c r="I1003">
        <v>28.86</v>
      </c>
    </row>
    <row r="1004" spans="1:9" ht="12.75">
      <c r="A1004">
        <v>999</v>
      </c>
      <c r="B1004" t="s">
        <v>5300</v>
      </c>
      <c r="C1004" t="s">
        <v>43</v>
      </c>
      <c r="D1004" t="s">
        <v>2780</v>
      </c>
      <c r="E1004" t="s">
        <v>2818</v>
      </c>
      <c r="F1004" t="str">
        <f>"159/307"</f>
        <v>159/307</v>
      </c>
      <c r="G1004" t="s">
        <v>5301</v>
      </c>
      <c r="H1004" t="s">
        <v>5302</v>
      </c>
      <c r="I1004">
        <v>28.85</v>
      </c>
    </row>
    <row r="1005" spans="1:9" ht="12.75">
      <c r="A1005">
        <v>1000</v>
      </c>
      <c r="B1005" t="s">
        <v>5303</v>
      </c>
      <c r="C1005" t="s">
        <v>5304</v>
      </c>
      <c r="D1005" t="s">
        <v>2780</v>
      </c>
      <c r="E1005" t="s">
        <v>2823</v>
      </c>
      <c r="F1005" t="str">
        <f>"348/504"</f>
        <v>348/504</v>
      </c>
      <c r="G1005" t="s">
        <v>5214</v>
      </c>
      <c r="H1005" t="s">
        <v>5305</v>
      </c>
      <c r="I1005">
        <v>28.85</v>
      </c>
    </row>
    <row r="1006" spans="1:9" ht="12.75">
      <c r="A1006">
        <v>1001</v>
      </c>
      <c r="B1006" t="s">
        <v>5306</v>
      </c>
      <c r="C1006" t="s">
        <v>2861</v>
      </c>
      <c r="D1006" t="s">
        <v>2780</v>
      </c>
      <c r="E1006" t="s">
        <v>2823</v>
      </c>
      <c r="F1006" t="str">
        <f>"349/504"</f>
        <v>349/504</v>
      </c>
      <c r="G1006" t="s">
        <v>5214</v>
      </c>
      <c r="H1006" t="s">
        <v>5307</v>
      </c>
      <c r="I1006">
        <v>28.84</v>
      </c>
    </row>
    <row r="1007" spans="1:9" ht="12.75">
      <c r="A1007">
        <v>1002</v>
      </c>
      <c r="B1007" t="s">
        <v>5308</v>
      </c>
      <c r="C1007" t="s">
        <v>2956</v>
      </c>
      <c r="D1007" t="s">
        <v>2780</v>
      </c>
      <c r="E1007" t="s">
        <v>2973</v>
      </c>
      <c r="F1007" t="str">
        <f>"68/167"</f>
        <v>68/167</v>
      </c>
      <c r="G1007" t="s">
        <v>5309</v>
      </c>
      <c r="H1007" t="s">
        <v>5310</v>
      </c>
      <c r="I1007">
        <v>28.83</v>
      </c>
    </row>
    <row r="1008" spans="1:9" ht="12.75">
      <c r="A1008">
        <v>1003</v>
      </c>
      <c r="B1008" t="s">
        <v>5311</v>
      </c>
      <c r="C1008" t="s">
        <v>615</v>
      </c>
      <c r="D1008" t="s">
        <v>2780</v>
      </c>
      <c r="E1008" t="s">
        <v>2818</v>
      </c>
      <c r="F1008" t="str">
        <f>"160/307"</f>
        <v>160/307</v>
      </c>
      <c r="G1008" t="s">
        <v>5312</v>
      </c>
      <c r="H1008" t="s">
        <v>5313</v>
      </c>
      <c r="I1008">
        <v>28.83</v>
      </c>
    </row>
    <row r="1009" spans="1:9" ht="12.75">
      <c r="A1009">
        <v>1004</v>
      </c>
      <c r="B1009" t="s">
        <v>5314</v>
      </c>
      <c r="C1009" t="s">
        <v>256</v>
      </c>
      <c r="D1009" t="s">
        <v>2780</v>
      </c>
      <c r="E1009" t="s">
        <v>2818</v>
      </c>
      <c r="F1009" t="str">
        <f>"161/307"</f>
        <v>161/307</v>
      </c>
      <c r="G1009" t="s">
        <v>5312</v>
      </c>
      <c r="H1009" t="s">
        <v>5315</v>
      </c>
      <c r="I1009">
        <v>28.83</v>
      </c>
    </row>
    <row r="1010" spans="1:9" ht="12.75">
      <c r="A1010">
        <v>1005</v>
      </c>
      <c r="B1010" t="s">
        <v>5316</v>
      </c>
      <c r="C1010" t="s">
        <v>504</v>
      </c>
      <c r="D1010" t="s">
        <v>2780</v>
      </c>
      <c r="E1010" t="s">
        <v>2818</v>
      </c>
      <c r="F1010" t="str">
        <f>"162/307"</f>
        <v>162/307</v>
      </c>
      <c r="G1010" t="s">
        <v>4935</v>
      </c>
      <c r="H1010" t="s">
        <v>5317</v>
      </c>
      <c r="I1010">
        <v>28.82</v>
      </c>
    </row>
    <row r="1011" spans="1:9" ht="12.75">
      <c r="A1011">
        <v>1006</v>
      </c>
      <c r="B1011" t="s">
        <v>170</v>
      </c>
      <c r="C1011" t="s">
        <v>504</v>
      </c>
      <c r="D1011" t="s">
        <v>2780</v>
      </c>
      <c r="E1011" t="s">
        <v>2818</v>
      </c>
      <c r="F1011" t="str">
        <f>"163/307"</f>
        <v>163/307</v>
      </c>
      <c r="G1011" t="s">
        <v>2936</v>
      </c>
      <c r="H1011" t="s">
        <v>5318</v>
      </c>
      <c r="I1011">
        <v>28.8</v>
      </c>
    </row>
    <row r="1012" spans="1:9" ht="12.75">
      <c r="A1012">
        <v>1007</v>
      </c>
      <c r="B1012" t="s">
        <v>5319</v>
      </c>
      <c r="C1012" t="s">
        <v>868</v>
      </c>
      <c r="D1012" t="s">
        <v>2780</v>
      </c>
      <c r="E1012" t="s">
        <v>2781</v>
      </c>
      <c r="F1012" t="str">
        <f>"240/329"</f>
        <v>240/329</v>
      </c>
      <c r="G1012" t="s">
        <v>3516</v>
      </c>
      <c r="H1012" t="s">
        <v>5320</v>
      </c>
      <c r="I1012">
        <v>28.79</v>
      </c>
    </row>
    <row r="1013" spans="1:9" ht="12.75">
      <c r="A1013">
        <v>1008</v>
      </c>
      <c r="B1013" t="s">
        <v>535</v>
      </c>
      <c r="C1013" t="s">
        <v>3594</v>
      </c>
      <c r="D1013" t="s">
        <v>2780</v>
      </c>
      <c r="E1013" t="s">
        <v>2781</v>
      </c>
      <c r="F1013" t="str">
        <f>"241/329"</f>
        <v>241/329</v>
      </c>
      <c r="G1013" t="s">
        <v>3214</v>
      </c>
      <c r="H1013" t="s">
        <v>5321</v>
      </c>
      <c r="I1013">
        <v>28.78</v>
      </c>
    </row>
    <row r="1014" spans="1:9" ht="12.75">
      <c r="A1014">
        <v>1009</v>
      </c>
      <c r="B1014" t="s">
        <v>5322</v>
      </c>
      <c r="C1014" t="s">
        <v>3057</v>
      </c>
      <c r="D1014" t="s">
        <v>2780</v>
      </c>
      <c r="E1014" t="s">
        <v>2823</v>
      </c>
      <c r="F1014" t="str">
        <f>"350/504"</f>
        <v>350/504</v>
      </c>
      <c r="G1014" t="s">
        <v>3088</v>
      </c>
      <c r="H1014" t="s">
        <v>5321</v>
      </c>
      <c r="I1014">
        <v>28.78</v>
      </c>
    </row>
    <row r="1015" spans="1:9" ht="12.75">
      <c r="A1015">
        <v>1010</v>
      </c>
      <c r="B1015" t="s">
        <v>5323</v>
      </c>
      <c r="C1015" t="s">
        <v>2840</v>
      </c>
      <c r="D1015" t="s">
        <v>2780</v>
      </c>
      <c r="E1015" t="s">
        <v>2781</v>
      </c>
      <c r="F1015" t="str">
        <f>"242/329"</f>
        <v>242/329</v>
      </c>
      <c r="G1015" t="s">
        <v>5324</v>
      </c>
      <c r="H1015" t="s">
        <v>5325</v>
      </c>
      <c r="I1015">
        <v>28.78</v>
      </c>
    </row>
    <row r="1016" spans="1:9" ht="12.75">
      <c r="A1016">
        <v>1011</v>
      </c>
      <c r="B1016" t="s">
        <v>3386</v>
      </c>
      <c r="C1016" t="s">
        <v>2826</v>
      </c>
      <c r="D1016" t="s">
        <v>2780</v>
      </c>
      <c r="E1016" t="s">
        <v>2786</v>
      </c>
      <c r="F1016" t="str">
        <f>"50/58"</f>
        <v>50/58</v>
      </c>
      <c r="G1016" t="s">
        <v>3088</v>
      </c>
      <c r="H1016" t="s">
        <v>5326</v>
      </c>
      <c r="I1016">
        <v>28.77</v>
      </c>
    </row>
    <row r="1017" spans="1:9" ht="12.75">
      <c r="A1017">
        <v>1012</v>
      </c>
      <c r="B1017" t="s">
        <v>1058</v>
      </c>
      <c r="C1017" t="s">
        <v>2807</v>
      </c>
      <c r="D1017" t="s">
        <v>2780</v>
      </c>
      <c r="E1017" t="s">
        <v>2823</v>
      </c>
      <c r="F1017" t="str">
        <f>"351/504"</f>
        <v>351/504</v>
      </c>
      <c r="G1017" t="s">
        <v>3187</v>
      </c>
      <c r="H1017" t="s">
        <v>5327</v>
      </c>
      <c r="I1017">
        <v>28.77</v>
      </c>
    </row>
    <row r="1018" spans="1:9" ht="12.75">
      <c r="A1018">
        <v>1013</v>
      </c>
      <c r="B1018" t="s">
        <v>5328</v>
      </c>
      <c r="C1018" t="s">
        <v>5329</v>
      </c>
      <c r="D1018" t="s">
        <v>2780</v>
      </c>
      <c r="E1018" t="s">
        <v>2823</v>
      </c>
      <c r="F1018" t="str">
        <f>"352/504"</f>
        <v>352/504</v>
      </c>
      <c r="G1018" t="s">
        <v>2917</v>
      </c>
      <c r="H1018" t="s">
        <v>5330</v>
      </c>
      <c r="I1018">
        <v>28.75</v>
      </c>
    </row>
    <row r="1019" spans="1:9" ht="12.75">
      <c r="A1019">
        <v>1014</v>
      </c>
      <c r="B1019" t="s">
        <v>2860</v>
      </c>
      <c r="C1019" t="s">
        <v>3560</v>
      </c>
      <c r="D1019" t="s">
        <v>2780</v>
      </c>
      <c r="E1019" t="s">
        <v>2799</v>
      </c>
      <c r="F1019" t="str">
        <f>"75/99"</f>
        <v>75/99</v>
      </c>
      <c r="G1019" t="s">
        <v>2889</v>
      </c>
      <c r="H1019" t="s">
        <v>5331</v>
      </c>
      <c r="I1019">
        <v>28.75</v>
      </c>
    </row>
    <row r="1020" spans="1:9" ht="12.75">
      <c r="A1020">
        <v>1015</v>
      </c>
      <c r="B1020" t="s">
        <v>5332</v>
      </c>
      <c r="C1020" t="s">
        <v>3337</v>
      </c>
      <c r="D1020" t="s">
        <v>2780</v>
      </c>
      <c r="E1020" t="s">
        <v>2781</v>
      </c>
      <c r="F1020" t="str">
        <f>"243/329"</f>
        <v>243/329</v>
      </c>
      <c r="G1020" t="s">
        <v>3046</v>
      </c>
      <c r="H1020" t="s">
        <v>5333</v>
      </c>
      <c r="I1020">
        <v>28.72</v>
      </c>
    </row>
    <row r="1021" spans="1:9" ht="12.75">
      <c r="A1021">
        <v>1016</v>
      </c>
      <c r="B1021" t="s">
        <v>5334</v>
      </c>
      <c r="C1021" t="s">
        <v>2966</v>
      </c>
      <c r="D1021" t="s">
        <v>2780</v>
      </c>
      <c r="E1021" t="s">
        <v>2781</v>
      </c>
      <c r="F1021" t="str">
        <f>"244/329"</f>
        <v>244/329</v>
      </c>
      <c r="G1021" t="s">
        <v>3187</v>
      </c>
      <c r="H1021" t="s">
        <v>5335</v>
      </c>
      <c r="I1021">
        <v>28.72</v>
      </c>
    </row>
    <row r="1022" spans="1:9" ht="12.75">
      <c r="A1022">
        <v>1017</v>
      </c>
      <c r="B1022" t="s">
        <v>5336</v>
      </c>
      <c r="C1022" t="s">
        <v>2966</v>
      </c>
      <c r="D1022" t="s">
        <v>2780</v>
      </c>
      <c r="E1022" t="s">
        <v>2781</v>
      </c>
      <c r="F1022" t="str">
        <f>"245/329"</f>
        <v>245/329</v>
      </c>
      <c r="G1022" t="s">
        <v>5337</v>
      </c>
      <c r="H1022" t="s">
        <v>5338</v>
      </c>
      <c r="I1022">
        <v>28.69</v>
      </c>
    </row>
    <row r="1023" spans="1:9" ht="12.75">
      <c r="A1023">
        <v>1018</v>
      </c>
      <c r="B1023" t="s">
        <v>5339</v>
      </c>
      <c r="C1023" t="s">
        <v>3123</v>
      </c>
      <c r="D1023" t="s">
        <v>2780</v>
      </c>
      <c r="E1023" t="s">
        <v>2823</v>
      </c>
      <c r="F1023" t="str">
        <f>"353/504"</f>
        <v>353/504</v>
      </c>
      <c r="G1023" t="s">
        <v>3322</v>
      </c>
      <c r="H1023" t="s">
        <v>5340</v>
      </c>
      <c r="I1023">
        <v>28.68</v>
      </c>
    </row>
    <row r="1024" spans="1:9" ht="12.75">
      <c r="A1024">
        <v>1019</v>
      </c>
      <c r="B1024" t="s">
        <v>5341</v>
      </c>
      <c r="C1024" t="s">
        <v>2861</v>
      </c>
      <c r="D1024" t="s">
        <v>2780</v>
      </c>
      <c r="E1024" t="s">
        <v>2818</v>
      </c>
      <c r="F1024" t="str">
        <f>"164/307"</f>
        <v>164/307</v>
      </c>
      <c r="G1024" t="s">
        <v>5342</v>
      </c>
      <c r="H1024" t="s">
        <v>5343</v>
      </c>
      <c r="I1024">
        <v>28.67</v>
      </c>
    </row>
    <row r="1025" spans="1:9" ht="12.75">
      <c r="A1025">
        <v>1020</v>
      </c>
      <c r="B1025" t="s">
        <v>400</v>
      </c>
      <c r="C1025" t="s">
        <v>5344</v>
      </c>
      <c r="D1025" t="s">
        <v>2780</v>
      </c>
      <c r="E1025" t="s">
        <v>2973</v>
      </c>
      <c r="F1025" t="str">
        <f>"69/167"</f>
        <v>69/167</v>
      </c>
      <c r="G1025" t="s">
        <v>3428</v>
      </c>
      <c r="H1025" t="s">
        <v>5345</v>
      </c>
      <c r="I1025">
        <v>28.67</v>
      </c>
    </row>
    <row r="1026" spans="1:9" ht="12.75">
      <c r="A1026">
        <v>1021</v>
      </c>
      <c r="B1026" t="s">
        <v>5346</v>
      </c>
      <c r="C1026" t="s">
        <v>5347</v>
      </c>
      <c r="D1026" t="s">
        <v>2780</v>
      </c>
      <c r="E1026" t="s">
        <v>2823</v>
      </c>
      <c r="F1026" t="str">
        <f>"354/504"</f>
        <v>354/504</v>
      </c>
      <c r="G1026" t="s">
        <v>437</v>
      </c>
      <c r="H1026" t="s">
        <v>5348</v>
      </c>
      <c r="I1026">
        <v>28.66</v>
      </c>
    </row>
    <row r="1027" spans="1:9" ht="12.75">
      <c r="A1027">
        <v>1022</v>
      </c>
      <c r="B1027" t="s">
        <v>5349</v>
      </c>
      <c r="C1027" t="s">
        <v>3286</v>
      </c>
      <c r="D1027" t="s">
        <v>2780</v>
      </c>
      <c r="E1027" t="s">
        <v>2823</v>
      </c>
      <c r="F1027" t="str">
        <f>"355/504"</f>
        <v>355/504</v>
      </c>
      <c r="G1027" t="s">
        <v>3206</v>
      </c>
      <c r="H1027" t="s">
        <v>5350</v>
      </c>
      <c r="I1027">
        <v>28.64</v>
      </c>
    </row>
    <row r="1028" spans="1:9" ht="12.75">
      <c r="A1028">
        <v>1023</v>
      </c>
      <c r="B1028" t="s">
        <v>5351</v>
      </c>
      <c r="C1028" t="s">
        <v>3057</v>
      </c>
      <c r="D1028" t="s">
        <v>2780</v>
      </c>
      <c r="E1028" t="s">
        <v>2781</v>
      </c>
      <c r="F1028" t="str">
        <f>"246/329"</f>
        <v>246/329</v>
      </c>
      <c r="G1028" t="s">
        <v>3516</v>
      </c>
      <c r="H1028" t="s">
        <v>5352</v>
      </c>
      <c r="I1028">
        <v>28.63</v>
      </c>
    </row>
    <row r="1029" spans="1:9" ht="12.75">
      <c r="A1029">
        <v>1024</v>
      </c>
      <c r="B1029" t="s">
        <v>2891</v>
      </c>
      <c r="C1029" t="s">
        <v>2836</v>
      </c>
      <c r="D1029" t="s">
        <v>2780</v>
      </c>
      <c r="E1029" t="s">
        <v>2823</v>
      </c>
      <c r="F1029" t="str">
        <f>"356/504"</f>
        <v>356/504</v>
      </c>
      <c r="G1029" t="s">
        <v>5353</v>
      </c>
      <c r="H1029" t="s">
        <v>5354</v>
      </c>
      <c r="I1029">
        <v>28.62</v>
      </c>
    </row>
    <row r="1030" spans="1:9" ht="12.75">
      <c r="A1030">
        <v>1025</v>
      </c>
      <c r="B1030" t="s">
        <v>5355</v>
      </c>
      <c r="C1030" t="s">
        <v>5356</v>
      </c>
      <c r="D1030" t="s">
        <v>2780</v>
      </c>
      <c r="E1030" t="s">
        <v>2823</v>
      </c>
      <c r="F1030" t="str">
        <f>"357/504"</f>
        <v>357/504</v>
      </c>
      <c r="G1030" t="s">
        <v>5357</v>
      </c>
      <c r="H1030" t="s">
        <v>5358</v>
      </c>
      <c r="I1030">
        <v>28.62</v>
      </c>
    </row>
    <row r="1031" spans="1:9" ht="12.75">
      <c r="A1031">
        <v>1026</v>
      </c>
      <c r="B1031" t="s">
        <v>5359</v>
      </c>
      <c r="C1031" t="s">
        <v>5360</v>
      </c>
      <c r="D1031" t="s">
        <v>2780</v>
      </c>
      <c r="E1031" t="s">
        <v>2781</v>
      </c>
      <c r="F1031" t="str">
        <f>"247/329"</f>
        <v>247/329</v>
      </c>
      <c r="G1031" t="s">
        <v>5361</v>
      </c>
      <c r="H1031" t="s">
        <v>5362</v>
      </c>
      <c r="I1031">
        <v>28.61</v>
      </c>
    </row>
    <row r="1032" spans="1:9" ht="12.75">
      <c r="A1032">
        <v>1027</v>
      </c>
      <c r="B1032" t="s">
        <v>5363</v>
      </c>
      <c r="C1032" t="s">
        <v>2935</v>
      </c>
      <c r="D1032" t="s">
        <v>2780</v>
      </c>
      <c r="E1032" t="s">
        <v>2823</v>
      </c>
      <c r="F1032" t="str">
        <f>"358/504"</f>
        <v>358/504</v>
      </c>
      <c r="G1032" t="s">
        <v>377</v>
      </c>
      <c r="H1032" t="s">
        <v>5364</v>
      </c>
      <c r="I1032">
        <v>28.58</v>
      </c>
    </row>
    <row r="1033" spans="1:9" ht="12.75">
      <c r="A1033">
        <v>1028</v>
      </c>
      <c r="B1033" t="s">
        <v>5365</v>
      </c>
      <c r="C1033" t="s">
        <v>5366</v>
      </c>
      <c r="D1033" t="s">
        <v>2780</v>
      </c>
      <c r="E1033" t="s">
        <v>2818</v>
      </c>
      <c r="F1033" t="str">
        <f>"165/307"</f>
        <v>165/307</v>
      </c>
      <c r="G1033" t="s">
        <v>420</v>
      </c>
      <c r="H1033" t="s">
        <v>5367</v>
      </c>
      <c r="I1033">
        <v>28.58</v>
      </c>
    </row>
    <row r="1034" spans="1:9" ht="12.75">
      <c r="A1034">
        <v>1029</v>
      </c>
      <c r="B1034" t="s">
        <v>5368</v>
      </c>
      <c r="C1034" t="s">
        <v>2868</v>
      </c>
      <c r="D1034" t="s">
        <v>2780</v>
      </c>
      <c r="E1034" t="s">
        <v>2823</v>
      </c>
      <c r="F1034" t="str">
        <f>"359/504"</f>
        <v>359/504</v>
      </c>
      <c r="G1034" t="s">
        <v>215</v>
      </c>
      <c r="H1034" t="s">
        <v>5369</v>
      </c>
      <c r="I1034">
        <v>28.57</v>
      </c>
    </row>
    <row r="1035" spans="1:9" ht="12.75">
      <c r="A1035">
        <v>1030</v>
      </c>
      <c r="B1035" t="s">
        <v>5370</v>
      </c>
      <c r="C1035" t="s">
        <v>5371</v>
      </c>
      <c r="D1035" t="s">
        <v>2780</v>
      </c>
      <c r="E1035" t="s">
        <v>2818</v>
      </c>
      <c r="F1035" t="str">
        <f>"166/307"</f>
        <v>166/307</v>
      </c>
      <c r="G1035" t="s">
        <v>3315</v>
      </c>
      <c r="H1035" t="s">
        <v>5372</v>
      </c>
      <c r="I1035">
        <v>28.55</v>
      </c>
    </row>
    <row r="1036" spans="1:9" ht="12.75">
      <c r="A1036">
        <v>1031</v>
      </c>
      <c r="B1036" t="s">
        <v>5373</v>
      </c>
      <c r="C1036" t="s">
        <v>2857</v>
      </c>
      <c r="D1036" t="s">
        <v>2780</v>
      </c>
      <c r="E1036" t="s">
        <v>2781</v>
      </c>
      <c r="F1036" t="str">
        <f>"248/329"</f>
        <v>248/329</v>
      </c>
      <c r="G1036" t="s">
        <v>59</v>
      </c>
      <c r="H1036" t="s">
        <v>5374</v>
      </c>
      <c r="I1036">
        <v>28.53</v>
      </c>
    </row>
    <row r="1037" spans="1:9" ht="12.75">
      <c r="A1037">
        <v>1032</v>
      </c>
      <c r="B1037" t="s">
        <v>5375</v>
      </c>
      <c r="C1037" t="s">
        <v>3141</v>
      </c>
      <c r="D1037" t="s">
        <v>2780</v>
      </c>
      <c r="E1037" t="s">
        <v>2823</v>
      </c>
      <c r="F1037" t="str">
        <f>"360/504"</f>
        <v>360/504</v>
      </c>
      <c r="G1037" t="s">
        <v>5376</v>
      </c>
      <c r="H1037" t="s">
        <v>5377</v>
      </c>
      <c r="I1037">
        <v>28.52</v>
      </c>
    </row>
    <row r="1038" spans="1:9" ht="12.75">
      <c r="A1038">
        <v>1033</v>
      </c>
      <c r="B1038" t="s">
        <v>5378</v>
      </c>
      <c r="C1038" t="s">
        <v>5379</v>
      </c>
      <c r="D1038" t="s">
        <v>2780</v>
      </c>
      <c r="E1038" t="s">
        <v>2818</v>
      </c>
      <c r="F1038" t="str">
        <f>"167/307"</f>
        <v>167/307</v>
      </c>
      <c r="G1038" t="s">
        <v>607</v>
      </c>
      <c r="H1038" t="s">
        <v>5380</v>
      </c>
      <c r="I1038">
        <v>28.5</v>
      </c>
    </row>
    <row r="1039" spans="1:9" ht="12.75">
      <c r="A1039">
        <v>1034</v>
      </c>
      <c r="B1039" t="s">
        <v>5381</v>
      </c>
      <c r="C1039" t="s">
        <v>5382</v>
      </c>
      <c r="D1039" t="s">
        <v>2780</v>
      </c>
      <c r="E1039" t="s">
        <v>2818</v>
      </c>
      <c r="F1039" t="str">
        <f>"168/307"</f>
        <v>168/307</v>
      </c>
      <c r="G1039" t="s">
        <v>881</v>
      </c>
      <c r="H1039" t="s">
        <v>5383</v>
      </c>
      <c r="I1039">
        <v>28.48</v>
      </c>
    </row>
    <row r="1040" spans="1:9" ht="12.75">
      <c r="A1040">
        <v>1035</v>
      </c>
      <c r="B1040" t="s">
        <v>5384</v>
      </c>
      <c r="C1040" t="s">
        <v>2902</v>
      </c>
      <c r="D1040" t="s">
        <v>2780</v>
      </c>
      <c r="E1040" t="s">
        <v>2973</v>
      </c>
      <c r="F1040" t="str">
        <f>"70/167"</f>
        <v>70/167</v>
      </c>
      <c r="G1040" t="s">
        <v>5385</v>
      </c>
      <c r="H1040" t="s">
        <v>5386</v>
      </c>
      <c r="I1040">
        <v>28.48</v>
      </c>
    </row>
    <row r="1041" spans="1:9" ht="12.75">
      <c r="A1041">
        <v>1036</v>
      </c>
      <c r="B1041" t="s">
        <v>4995</v>
      </c>
      <c r="C1041" t="s">
        <v>5387</v>
      </c>
      <c r="D1041" t="s">
        <v>2780</v>
      </c>
      <c r="E1041" t="s">
        <v>2818</v>
      </c>
      <c r="F1041" t="str">
        <f>"169/307"</f>
        <v>169/307</v>
      </c>
      <c r="G1041" t="s">
        <v>59</v>
      </c>
      <c r="H1041" t="s">
        <v>5388</v>
      </c>
      <c r="I1041">
        <v>28.48</v>
      </c>
    </row>
    <row r="1042" spans="1:9" ht="12.75">
      <c r="A1042">
        <v>1037</v>
      </c>
      <c r="B1042" t="s">
        <v>3565</v>
      </c>
      <c r="C1042" t="s">
        <v>401</v>
      </c>
      <c r="D1042" t="s">
        <v>2780</v>
      </c>
      <c r="E1042" t="s">
        <v>2973</v>
      </c>
      <c r="F1042" t="str">
        <f>"71/167"</f>
        <v>71/167</v>
      </c>
      <c r="G1042" t="s">
        <v>5389</v>
      </c>
      <c r="H1042" t="s">
        <v>5390</v>
      </c>
      <c r="I1042">
        <v>28.47</v>
      </c>
    </row>
    <row r="1043" spans="1:9" ht="12.75">
      <c r="A1043">
        <v>1038</v>
      </c>
      <c r="B1043" t="s">
        <v>2856</v>
      </c>
      <c r="C1043" t="s">
        <v>3464</v>
      </c>
      <c r="D1043" t="s">
        <v>2780</v>
      </c>
      <c r="E1043" t="s">
        <v>2818</v>
      </c>
      <c r="F1043" t="str">
        <f>"170/307"</f>
        <v>170/307</v>
      </c>
      <c r="G1043" t="s">
        <v>5391</v>
      </c>
      <c r="H1043" t="s">
        <v>5392</v>
      </c>
      <c r="I1043">
        <v>28.47</v>
      </c>
    </row>
    <row r="1044" spans="1:9" ht="12.75">
      <c r="A1044">
        <v>1039</v>
      </c>
      <c r="B1044" t="s">
        <v>5393</v>
      </c>
      <c r="C1044" t="s">
        <v>2906</v>
      </c>
      <c r="D1044" t="s">
        <v>2780</v>
      </c>
      <c r="E1044" t="s">
        <v>2823</v>
      </c>
      <c r="F1044" t="str">
        <f>"361/504"</f>
        <v>361/504</v>
      </c>
      <c r="G1044" t="s">
        <v>5394</v>
      </c>
      <c r="H1044" t="s">
        <v>5395</v>
      </c>
      <c r="I1044">
        <v>28.47</v>
      </c>
    </row>
    <row r="1045" spans="1:9" ht="12.75">
      <c r="A1045">
        <v>1040</v>
      </c>
      <c r="B1045" t="s">
        <v>5396</v>
      </c>
      <c r="C1045" t="s">
        <v>5397</v>
      </c>
      <c r="D1045" t="s">
        <v>2780</v>
      </c>
      <c r="E1045" t="s">
        <v>2973</v>
      </c>
      <c r="F1045" t="str">
        <f>"72/167"</f>
        <v>72/167</v>
      </c>
      <c r="G1045" t="s">
        <v>3436</v>
      </c>
      <c r="H1045" t="s">
        <v>5398</v>
      </c>
      <c r="I1045">
        <v>28.46</v>
      </c>
    </row>
    <row r="1046" spans="1:9" ht="12.75">
      <c r="A1046">
        <v>1041</v>
      </c>
      <c r="B1046" t="s">
        <v>5399</v>
      </c>
      <c r="C1046" t="s">
        <v>2817</v>
      </c>
      <c r="D1046" t="s">
        <v>2780</v>
      </c>
      <c r="E1046" t="s">
        <v>2818</v>
      </c>
      <c r="F1046" t="str">
        <f>"171/307"</f>
        <v>171/307</v>
      </c>
      <c r="G1046" t="s">
        <v>4929</v>
      </c>
      <c r="H1046" t="s">
        <v>5400</v>
      </c>
      <c r="I1046">
        <v>28.46</v>
      </c>
    </row>
    <row r="1047" spans="1:9" ht="12.75">
      <c r="A1047">
        <v>1042</v>
      </c>
      <c r="B1047" t="s">
        <v>5401</v>
      </c>
      <c r="C1047" t="s">
        <v>5402</v>
      </c>
      <c r="D1047" t="s">
        <v>2780</v>
      </c>
      <c r="E1047" t="s">
        <v>2823</v>
      </c>
      <c r="F1047" t="str">
        <f>"362/504"</f>
        <v>362/504</v>
      </c>
      <c r="G1047" t="s">
        <v>3363</v>
      </c>
      <c r="H1047" t="s">
        <v>5403</v>
      </c>
      <c r="I1047">
        <v>28.45</v>
      </c>
    </row>
    <row r="1048" spans="1:9" ht="12.75">
      <c r="A1048">
        <v>1043</v>
      </c>
      <c r="B1048" t="s">
        <v>3212</v>
      </c>
      <c r="C1048" t="s">
        <v>5404</v>
      </c>
      <c r="D1048" t="s">
        <v>2780</v>
      </c>
      <c r="E1048" t="s">
        <v>3209</v>
      </c>
      <c r="F1048" t="str">
        <f>"15/62"</f>
        <v>15/62</v>
      </c>
      <c r="G1048" t="s">
        <v>5405</v>
      </c>
      <c r="H1048" t="s">
        <v>5406</v>
      </c>
      <c r="I1048">
        <v>28.44</v>
      </c>
    </row>
    <row r="1049" spans="1:9" ht="12.75">
      <c r="A1049">
        <v>1044</v>
      </c>
      <c r="B1049" t="s">
        <v>5407</v>
      </c>
      <c r="C1049" t="s">
        <v>43</v>
      </c>
      <c r="D1049" t="s">
        <v>2780</v>
      </c>
      <c r="E1049" t="s">
        <v>2818</v>
      </c>
      <c r="F1049" t="str">
        <f>"172/307"</f>
        <v>172/307</v>
      </c>
      <c r="G1049" t="s">
        <v>122</v>
      </c>
      <c r="H1049" t="s">
        <v>5408</v>
      </c>
      <c r="I1049">
        <v>28.43</v>
      </c>
    </row>
    <row r="1050" spans="1:9" ht="12.75">
      <c r="A1050">
        <v>1045</v>
      </c>
      <c r="B1050" t="s">
        <v>5409</v>
      </c>
      <c r="C1050" t="s">
        <v>2836</v>
      </c>
      <c r="D1050" t="s">
        <v>2780</v>
      </c>
      <c r="E1050" t="s">
        <v>2818</v>
      </c>
      <c r="F1050" t="str">
        <f>"173/307"</f>
        <v>173/307</v>
      </c>
      <c r="G1050" t="s">
        <v>416</v>
      </c>
      <c r="H1050" t="s">
        <v>5410</v>
      </c>
      <c r="I1050">
        <v>28.43</v>
      </c>
    </row>
    <row r="1051" spans="1:9" ht="12.75">
      <c r="A1051">
        <v>1046</v>
      </c>
      <c r="B1051" t="s">
        <v>3378</v>
      </c>
      <c r="C1051" t="s">
        <v>2807</v>
      </c>
      <c r="D1051" t="s">
        <v>2780</v>
      </c>
      <c r="E1051" t="s">
        <v>2781</v>
      </c>
      <c r="F1051" t="str">
        <f>"249/329"</f>
        <v>249/329</v>
      </c>
      <c r="G1051" t="s">
        <v>18</v>
      </c>
      <c r="H1051" t="s">
        <v>5411</v>
      </c>
      <c r="I1051">
        <v>28.42</v>
      </c>
    </row>
    <row r="1052" spans="1:9" ht="12.75">
      <c r="A1052">
        <v>1047</v>
      </c>
      <c r="B1052" t="s">
        <v>5412</v>
      </c>
      <c r="C1052" t="s">
        <v>2931</v>
      </c>
      <c r="D1052" t="s">
        <v>2780</v>
      </c>
      <c r="E1052" t="s">
        <v>2823</v>
      </c>
      <c r="F1052" t="str">
        <f>"363/504"</f>
        <v>363/504</v>
      </c>
      <c r="G1052" t="s">
        <v>5413</v>
      </c>
      <c r="H1052" t="s">
        <v>5414</v>
      </c>
      <c r="I1052">
        <v>28.42</v>
      </c>
    </row>
    <row r="1053" spans="1:9" ht="12.75">
      <c r="A1053">
        <v>1048</v>
      </c>
      <c r="B1053" t="s">
        <v>5415</v>
      </c>
      <c r="C1053" t="s">
        <v>5416</v>
      </c>
      <c r="D1053" t="s">
        <v>2780</v>
      </c>
      <c r="E1053" t="s">
        <v>2823</v>
      </c>
      <c r="F1053" t="str">
        <f>"364/504"</f>
        <v>364/504</v>
      </c>
      <c r="G1053" t="s">
        <v>5417</v>
      </c>
      <c r="H1053" t="s">
        <v>5418</v>
      </c>
      <c r="I1053">
        <v>28.39</v>
      </c>
    </row>
    <row r="1054" spans="1:9" ht="12.75">
      <c r="A1054">
        <v>1049</v>
      </c>
      <c r="B1054" t="s">
        <v>841</v>
      </c>
      <c r="C1054" t="s">
        <v>5033</v>
      </c>
      <c r="D1054" t="s">
        <v>2780</v>
      </c>
      <c r="E1054" t="s">
        <v>2781</v>
      </c>
      <c r="F1054" t="str">
        <f>"250/329"</f>
        <v>250/329</v>
      </c>
      <c r="G1054" t="s">
        <v>5419</v>
      </c>
      <c r="H1054" t="s">
        <v>5420</v>
      </c>
      <c r="I1054">
        <v>28.38</v>
      </c>
    </row>
    <row r="1055" spans="1:9" ht="12.75">
      <c r="A1055">
        <v>1050</v>
      </c>
      <c r="B1055" t="s">
        <v>5421</v>
      </c>
      <c r="C1055" t="s">
        <v>5422</v>
      </c>
      <c r="D1055" t="s">
        <v>2780</v>
      </c>
      <c r="E1055" t="s">
        <v>2818</v>
      </c>
      <c r="F1055" t="str">
        <f>"174/307"</f>
        <v>174/307</v>
      </c>
      <c r="G1055" t="s">
        <v>5423</v>
      </c>
      <c r="H1055" t="s">
        <v>5424</v>
      </c>
      <c r="I1055">
        <v>28.38</v>
      </c>
    </row>
    <row r="1056" spans="1:9" ht="12.75">
      <c r="A1056">
        <v>1051</v>
      </c>
      <c r="B1056" t="s">
        <v>3324</v>
      </c>
      <c r="C1056" t="s">
        <v>3464</v>
      </c>
      <c r="D1056" t="s">
        <v>2780</v>
      </c>
      <c r="E1056" t="s">
        <v>2818</v>
      </c>
      <c r="F1056" t="str">
        <f>"175/307"</f>
        <v>175/307</v>
      </c>
      <c r="G1056" t="s">
        <v>5425</v>
      </c>
      <c r="H1056" t="s">
        <v>5426</v>
      </c>
      <c r="I1056">
        <v>28.38</v>
      </c>
    </row>
    <row r="1057" spans="1:9" ht="12.75">
      <c r="A1057">
        <v>1052</v>
      </c>
      <c r="B1057" t="s">
        <v>5427</v>
      </c>
      <c r="C1057" t="s">
        <v>2814</v>
      </c>
      <c r="D1057" t="s">
        <v>2780</v>
      </c>
      <c r="E1057" t="s">
        <v>2786</v>
      </c>
      <c r="F1057" t="str">
        <f>"51/58"</f>
        <v>51/58</v>
      </c>
      <c r="G1057" t="s">
        <v>3011</v>
      </c>
      <c r="H1057" t="s">
        <v>5428</v>
      </c>
      <c r="I1057">
        <v>28.37</v>
      </c>
    </row>
    <row r="1058" spans="1:9" ht="12.75">
      <c r="A1058">
        <v>1053</v>
      </c>
      <c r="B1058" t="s">
        <v>5190</v>
      </c>
      <c r="C1058" t="s">
        <v>2826</v>
      </c>
      <c r="D1058" t="s">
        <v>2780</v>
      </c>
      <c r="E1058" t="s">
        <v>2786</v>
      </c>
      <c r="F1058" t="str">
        <f>"52/58"</f>
        <v>52/58</v>
      </c>
      <c r="G1058" t="s">
        <v>3289</v>
      </c>
      <c r="H1058" t="s">
        <v>5429</v>
      </c>
      <c r="I1058">
        <v>28.37</v>
      </c>
    </row>
    <row r="1059" spans="1:9" ht="12.75">
      <c r="A1059">
        <v>1054</v>
      </c>
      <c r="B1059" t="s">
        <v>1144</v>
      </c>
      <c r="C1059" t="s">
        <v>5430</v>
      </c>
      <c r="D1059" t="s">
        <v>2780</v>
      </c>
      <c r="E1059" t="s">
        <v>2823</v>
      </c>
      <c r="F1059" t="str">
        <f>"365/504"</f>
        <v>365/504</v>
      </c>
      <c r="G1059" t="s">
        <v>2804</v>
      </c>
      <c r="H1059" t="s">
        <v>5431</v>
      </c>
      <c r="I1059">
        <v>28.36</v>
      </c>
    </row>
    <row r="1060" spans="1:9" ht="12.75">
      <c r="A1060">
        <v>1055</v>
      </c>
      <c r="B1060" t="s">
        <v>5432</v>
      </c>
      <c r="C1060" t="s">
        <v>3286</v>
      </c>
      <c r="D1060" t="s">
        <v>2780</v>
      </c>
      <c r="E1060" t="s">
        <v>2823</v>
      </c>
      <c r="F1060" t="str">
        <f>"366/504"</f>
        <v>366/504</v>
      </c>
      <c r="G1060" t="s">
        <v>5433</v>
      </c>
      <c r="H1060" t="s">
        <v>5434</v>
      </c>
      <c r="I1060">
        <v>28.34</v>
      </c>
    </row>
    <row r="1061" spans="1:9" ht="12.75">
      <c r="A1061">
        <v>1056</v>
      </c>
      <c r="B1061" t="s">
        <v>5435</v>
      </c>
      <c r="C1061" t="s">
        <v>3594</v>
      </c>
      <c r="D1061" t="s">
        <v>2780</v>
      </c>
      <c r="E1061" t="s">
        <v>2973</v>
      </c>
      <c r="F1061" t="str">
        <f>"73/167"</f>
        <v>73/167</v>
      </c>
      <c r="G1061" t="s">
        <v>5436</v>
      </c>
      <c r="H1061" t="s">
        <v>5437</v>
      </c>
      <c r="I1061">
        <v>28.34</v>
      </c>
    </row>
    <row r="1062" spans="1:9" ht="12.75">
      <c r="A1062">
        <v>1057</v>
      </c>
      <c r="B1062" t="s">
        <v>5438</v>
      </c>
      <c r="C1062" t="s">
        <v>3346</v>
      </c>
      <c r="D1062" t="s">
        <v>2780</v>
      </c>
      <c r="E1062" t="s">
        <v>2818</v>
      </c>
      <c r="F1062" t="str">
        <f>"176/307"</f>
        <v>176/307</v>
      </c>
      <c r="G1062" t="s">
        <v>5439</v>
      </c>
      <c r="H1062" t="s">
        <v>5440</v>
      </c>
      <c r="I1062">
        <v>28.34</v>
      </c>
    </row>
    <row r="1063" spans="1:9" ht="12.75">
      <c r="A1063">
        <v>1058</v>
      </c>
      <c r="B1063" t="s">
        <v>5441</v>
      </c>
      <c r="C1063" t="s">
        <v>2830</v>
      </c>
      <c r="D1063" t="s">
        <v>2780</v>
      </c>
      <c r="E1063" t="s">
        <v>2818</v>
      </c>
      <c r="F1063" t="str">
        <f>"177/307"</f>
        <v>177/307</v>
      </c>
      <c r="G1063" t="s">
        <v>3662</v>
      </c>
      <c r="H1063" t="s">
        <v>5442</v>
      </c>
      <c r="I1063">
        <v>28.34</v>
      </c>
    </row>
    <row r="1064" spans="1:9" ht="12.75">
      <c r="A1064">
        <v>1059</v>
      </c>
      <c r="B1064" t="s">
        <v>5443</v>
      </c>
      <c r="C1064" t="s">
        <v>3464</v>
      </c>
      <c r="D1064" t="s">
        <v>2780</v>
      </c>
      <c r="E1064" t="s">
        <v>2823</v>
      </c>
      <c r="F1064" t="str">
        <f>"367/504"</f>
        <v>367/504</v>
      </c>
      <c r="G1064" t="s">
        <v>5444</v>
      </c>
      <c r="H1064" t="s">
        <v>5445</v>
      </c>
      <c r="I1064">
        <v>28.34</v>
      </c>
    </row>
    <row r="1065" spans="1:9" ht="12.75">
      <c r="A1065">
        <v>1060</v>
      </c>
      <c r="B1065" t="s">
        <v>5446</v>
      </c>
      <c r="C1065" t="s">
        <v>2966</v>
      </c>
      <c r="D1065" t="s">
        <v>2780</v>
      </c>
      <c r="E1065" t="s">
        <v>2818</v>
      </c>
      <c r="F1065" t="str">
        <f>"178/307"</f>
        <v>178/307</v>
      </c>
      <c r="G1065" t="s">
        <v>858</v>
      </c>
      <c r="H1065" t="s">
        <v>5447</v>
      </c>
      <c r="I1065">
        <v>28.32</v>
      </c>
    </row>
    <row r="1066" spans="1:9" ht="12.75">
      <c r="A1066">
        <v>1061</v>
      </c>
      <c r="B1066" t="s">
        <v>5448</v>
      </c>
      <c r="C1066" t="s">
        <v>2836</v>
      </c>
      <c r="D1066" t="s">
        <v>2780</v>
      </c>
      <c r="E1066" t="s">
        <v>2818</v>
      </c>
      <c r="F1066" t="str">
        <f>"179/307"</f>
        <v>179/307</v>
      </c>
      <c r="G1066" t="s">
        <v>3662</v>
      </c>
      <c r="H1066" t="s">
        <v>5449</v>
      </c>
      <c r="I1066">
        <v>28.31</v>
      </c>
    </row>
    <row r="1067" spans="1:9" ht="12.75">
      <c r="A1067">
        <v>1062</v>
      </c>
      <c r="B1067" t="s">
        <v>5450</v>
      </c>
      <c r="C1067" t="s">
        <v>5451</v>
      </c>
      <c r="D1067" t="s">
        <v>2780</v>
      </c>
      <c r="E1067" t="s">
        <v>2781</v>
      </c>
      <c r="F1067" t="str">
        <f>"251/329"</f>
        <v>251/329</v>
      </c>
      <c r="G1067" t="s">
        <v>5452</v>
      </c>
      <c r="H1067" t="s">
        <v>5453</v>
      </c>
      <c r="I1067">
        <v>28.3</v>
      </c>
    </row>
    <row r="1068" spans="1:9" ht="12.75">
      <c r="A1068">
        <v>1063</v>
      </c>
      <c r="B1068" t="s">
        <v>5454</v>
      </c>
      <c r="C1068" t="s">
        <v>3108</v>
      </c>
      <c r="D1068" t="s">
        <v>2780</v>
      </c>
      <c r="E1068" t="s">
        <v>2973</v>
      </c>
      <c r="F1068" t="str">
        <f>"74/167"</f>
        <v>74/167</v>
      </c>
      <c r="G1068" t="s">
        <v>3640</v>
      </c>
      <c r="H1068" t="s">
        <v>5455</v>
      </c>
      <c r="I1068">
        <v>28.29</v>
      </c>
    </row>
    <row r="1069" spans="1:9" ht="12.75">
      <c r="A1069">
        <v>1064</v>
      </c>
      <c r="B1069" t="s">
        <v>5456</v>
      </c>
      <c r="C1069" t="s">
        <v>2865</v>
      </c>
      <c r="D1069" t="s">
        <v>2780</v>
      </c>
      <c r="E1069" t="s">
        <v>2781</v>
      </c>
      <c r="F1069" t="str">
        <f>"252/329"</f>
        <v>252/329</v>
      </c>
      <c r="G1069" t="s">
        <v>3535</v>
      </c>
      <c r="H1069" t="s">
        <v>5457</v>
      </c>
      <c r="I1069">
        <v>28.27</v>
      </c>
    </row>
    <row r="1070" spans="1:9" ht="12.75">
      <c r="A1070">
        <v>1065</v>
      </c>
      <c r="B1070" t="s">
        <v>5458</v>
      </c>
      <c r="C1070" t="s">
        <v>3286</v>
      </c>
      <c r="D1070" t="s">
        <v>2780</v>
      </c>
      <c r="E1070" t="s">
        <v>2823</v>
      </c>
      <c r="F1070" t="str">
        <f>"368/504"</f>
        <v>368/504</v>
      </c>
      <c r="G1070" t="s">
        <v>5459</v>
      </c>
      <c r="H1070" t="s">
        <v>5460</v>
      </c>
      <c r="I1070">
        <v>28.27</v>
      </c>
    </row>
    <row r="1071" spans="1:9" ht="12.75">
      <c r="A1071">
        <v>1066</v>
      </c>
      <c r="B1071" t="s">
        <v>5461</v>
      </c>
      <c r="C1071" t="s">
        <v>1160</v>
      </c>
      <c r="D1071" t="s">
        <v>2780</v>
      </c>
      <c r="E1071" t="s">
        <v>2823</v>
      </c>
      <c r="F1071" t="str">
        <f>"369/504"</f>
        <v>369/504</v>
      </c>
      <c r="G1071" t="s">
        <v>5459</v>
      </c>
      <c r="H1071" t="s">
        <v>5462</v>
      </c>
      <c r="I1071">
        <v>28.27</v>
      </c>
    </row>
    <row r="1072" spans="1:9" ht="12.75">
      <c r="A1072">
        <v>1067</v>
      </c>
      <c r="B1072" t="s">
        <v>5463</v>
      </c>
      <c r="C1072" t="s">
        <v>3346</v>
      </c>
      <c r="D1072" t="s">
        <v>2780</v>
      </c>
      <c r="E1072" t="s">
        <v>3209</v>
      </c>
      <c r="F1072" t="str">
        <f>"16/62"</f>
        <v>16/62</v>
      </c>
      <c r="G1072" t="s">
        <v>138</v>
      </c>
      <c r="H1072" t="s">
        <v>5464</v>
      </c>
      <c r="I1072">
        <v>28.27</v>
      </c>
    </row>
    <row r="1073" spans="1:9" ht="12.75">
      <c r="A1073">
        <v>1068</v>
      </c>
      <c r="B1073" t="s">
        <v>5465</v>
      </c>
      <c r="C1073" t="s">
        <v>2836</v>
      </c>
      <c r="D1073" t="s">
        <v>2780</v>
      </c>
      <c r="E1073" t="s">
        <v>2823</v>
      </c>
      <c r="F1073" t="str">
        <f>"370/504"</f>
        <v>370/504</v>
      </c>
      <c r="G1073" t="s">
        <v>1130</v>
      </c>
      <c r="H1073" t="s">
        <v>5466</v>
      </c>
      <c r="I1073">
        <v>28.27</v>
      </c>
    </row>
    <row r="1074" spans="1:9" ht="12.75">
      <c r="A1074">
        <v>1069</v>
      </c>
      <c r="B1074" t="s">
        <v>5467</v>
      </c>
      <c r="C1074" t="s">
        <v>5468</v>
      </c>
      <c r="D1074" t="s">
        <v>2780</v>
      </c>
      <c r="E1074" t="s">
        <v>2818</v>
      </c>
      <c r="F1074" t="str">
        <f>"180/307"</f>
        <v>180/307</v>
      </c>
      <c r="G1074" t="s">
        <v>1130</v>
      </c>
      <c r="H1074" t="s">
        <v>5469</v>
      </c>
      <c r="I1074">
        <v>28.27</v>
      </c>
    </row>
    <row r="1075" spans="1:9" ht="12.75">
      <c r="A1075">
        <v>1070</v>
      </c>
      <c r="B1075" t="s">
        <v>5470</v>
      </c>
      <c r="C1075" t="s">
        <v>2857</v>
      </c>
      <c r="D1075" t="s">
        <v>2780</v>
      </c>
      <c r="E1075" t="s">
        <v>2823</v>
      </c>
      <c r="F1075" t="str">
        <f>"371/504"</f>
        <v>371/504</v>
      </c>
      <c r="G1075" t="s">
        <v>3535</v>
      </c>
      <c r="H1075" t="s">
        <v>5471</v>
      </c>
      <c r="I1075">
        <v>28.25</v>
      </c>
    </row>
    <row r="1076" spans="1:9" ht="12.75">
      <c r="A1076">
        <v>1071</v>
      </c>
      <c r="B1076" t="s">
        <v>427</v>
      </c>
      <c r="C1076" t="s">
        <v>2836</v>
      </c>
      <c r="D1076" t="s">
        <v>2780</v>
      </c>
      <c r="E1076" t="s">
        <v>2823</v>
      </c>
      <c r="F1076" t="str">
        <f>"372/504"</f>
        <v>372/504</v>
      </c>
      <c r="G1076" t="s">
        <v>3535</v>
      </c>
      <c r="H1076" t="s">
        <v>5472</v>
      </c>
      <c r="I1076">
        <v>28.25</v>
      </c>
    </row>
    <row r="1077" spans="1:9" ht="12.75">
      <c r="A1077">
        <v>1072</v>
      </c>
      <c r="B1077" t="s">
        <v>5473</v>
      </c>
      <c r="C1077" t="s">
        <v>240</v>
      </c>
      <c r="D1077" t="s">
        <v>2780</v>
      </c>
      <c r="E1077" t="s">
        <v>2818</v>
      </c>
      <c r="F1077" t="str">
        <f>"181/307"</f>
        <v>181/307</v>
      </c>
      <c r="G1077" t="s">
        <v>607</v>
      </c>
      <c r="H1077" t="s">
        <v>5474</v>
      </c>
      <c r="I1077">
        <v>28.23</v>
      </c>
    </row>
    <row r="1078" spans="1:9" ht="12.75">
      <c r="A1078">
        <v>1073</v>
      </c>
      <c r="B1078" t="s">
        <v>5475</v>
      </c>
      <c r="C1078" t="s">
        <v>580</v>
      </c>
      <c r="D1078" t="s">
        <v>2780</v>
      </c>
      <c r="E1078" t="s">
        <v>2823</v>
      </c>
      <c r="F1078" t="str">
        <f>"373/504"</f>
        <v>373/504</v>
      </c>
      <c r="G1078" t="s">
        <v>377</v>
      </c>
      <c r="H1078" t="s">
        <v>5476</v>
      </c>
      <c r="I1078">
        <v>28.22</v>
      </c>
    </row>
    <row r="1079" spans="1:9" ht="12.75">
      <c r="A1079">
        <v>1074</v>
      </c>
      <c r="B1079" t="s">
        <v>5477</v>
      </c>
      <c r="C1079" t="s">
        <v>2895</v>
      </c>
      <c r="D1079" t="s">
        <v>2780</v>
      </c>
      <c r="E1079" t="s">
        <v>2823</v>
      </c>
      <c r="F1079" t="str">
        <f>"374/504"</f>
        <v>374/504</v>
      </c>
      <c r="G1079" t="s">
        <v>343</v>
      </c>
      <c r="H1079" t="s">
        <v>5478</v>
      </c>
      <c r="I1079">
        <v>28.22</v>
      </c>
    </row>
    <row r="1080" spans="1:9" ht="12.75">
      <c r="A1080">
        <v>1075</v>
      </c>
      <c r="B1080" t="s">
        <v>5479</v>
      </c>
      <c r="C1080" t="s">
        <v>3141</v>
      </c>
      <c r="D1080" t="s">
        <v>2780</v>
      </c>
      <c r="E1080" t="s">
        <v>2781</v>
      </c>
      <c r="F1080" t="str">
        <f>"253/329"</f>
        <v>253/329</v>
      </c>
      <c r="G1080" t="s">
        <v>5480</v>
      </c>
      <c r="H1080" t="s">
        <v>5481</v>
      </c>
      <c r="I1080">
        <v>28.22</v>
      </c>
    </row>
    <row r="1081" spans="1:9" ht="12.75">
      <c r="A1081">
        <v>1076</v>
      </c>
      <c r="B1081" t="s">
        <v>5482</v>
      </c>
      <c r="C1081" t="s">
        <v>3017</v>
      </c>
      <c r="D1081" t="s">
        <v>2780</v>
      </c>
      <c r="E1081" t="s">
        <v>2781</v>
      </c>
      <c r="F1081" t="str">
        <f>"254/329"</f>
        <v>254/329</v>
      </c>
      <c r="G1081" t="s">
        <v>5483</v>
      </c>
      <c r="H1081" t="s">
        <v>5484</v>
      </c>
      <c r="I1081">
        <v>28.21</v>
      </c>
    </row>
    <row r="1082" spans="1:9" ht="12.75">
      <c r="A1082">
        <v>1077</v>
      </c>
      <c r="B1082" t="s">
        <v>5485</v>
      </c>
      <c r="C1082" t="s">
        <v>2836</v>
      </c>
      <c r="D1082" t="s">
        <v>2780</v>
      </c>
      <c r="E1082" t="s">
        <v>2781</v>
      </c>
      <c r="F1082" t="str">
        <f>"255/329"</f>
        <v>255/329</v>
      </c>
      <c r="G1082" t="s">
        <v>5486</v>
      </c>
      <c r="H1082" t="s">
        <v>5487</v>
      </c>
      <c r="I1082">
        <v>28.2</v>
      </c>
    </row>
    <row r="1083" spans="1:9" ht="12.75">
      <c r="A1083">
        <v>1078</v>
      </c>
      <c r="B1083" t="s">
        <v>3378</v>
      </c>
      <c r="C1083" t="s">
        <v>195</v>
      </c>
      <c r="D1083" t="s">
        <v>2780</v>
      </c>
      <c r="E1083" t="s">
        <v>2818</v>
      </c>
      <c r="F1083" t="str">
        <f>"182/307"</f>
        <v>182/307</v>
      </c>
      <c r="G1083" t="s">
        <v>3557</v>
      </c>
      <c r="H1083" t="s">
        <v>5488</v>
      </c>
      <c r="I1083">
        <v>28.2</v>
      </c>
    </row>
    <row r="1084" spans="1:9" ht="12.75">
      <c r="A1084">
        <v>1079</v>
      </c>
      <c r="B1084" t="s">
        <v>5489</v>
      </c>
      <c r="C1084" t="s">
        <v>5490</v>
      </c>
      <c r="D1084" t="s">
        <v>3031</v>
      </c>
      <c r="E1084" t="s">
        <v>3032</v>
      </c>
      <c r="F1084" t="str">
        <f>"28/54"</f>
        <v>28/54</v>
      </c>
      <c r="G1084" t="s">
        <v>3206</v>
      </c>
      <c r="H1084" t="s">
        <v>5491</v>
      </c>
      <c r="I1084">
        <v>28.19</v>
      </c>
    </row>
    <row r="1085" spans="1:9" ht="12.75">
      <c r="A1085">
        <v>1080</v>
      </c>
      <c r="B1085" t="s">
        <v>5492</v>
      </c>
      <c r="C1085" t="s">
        <v>470</v>
      </c>
      <c r="D1085" t="s">
        <v>2780</v>
      </c>
      <c r="E1085" t="s">
        <v>2823</v>
      </c>
      <c r="F1085" t="str">
        <f>"375/504"</f>
        <v>375/504</v>
      </c>
      <c r="G1085" t="s">
        <v>2994</v>
      </c>
      <c r="H1085" t="s">
        <v>5493</v>
      </c>
      <c r="I1085">
        <v>28.19</v>
      </c>
    </row>
    <row r="1086" spans="1:9" ht="12.75">
      <c r="A1086">
        <v>1081</v>
      </c>
      <c r="B1086" t="s">
        <v>5494</v>
      </c>
      <c r="C1086" t="s">
        <v>5495</v>
      </c>
      <c r="D1086" t="s">
        <v>2780</v>
      </c>
      <c r="E1086" t="s">
        <v>2818</v>
      </c>
      <c r="F1086" t="str">
        <f>"183/307"</f>
        <v>183/307</v>
      </c>
      <c r="G1086" t="s">
        <v>2787</v>
      </c>
      <c r="H1086" t="s">
        <v>5496</v>
      </c>
      <c r="I1086">
        <v>28.18</v>
      </c>
    </row>
    <row r="1087" spans="1:9" ht="12.75">
      <c r="A1087">
        <v>1082</v>
      </c>
      <c r="B1087" t="s">
        <v>5497</v>
      </c>
      <c r="C1087" t="s">
        <v>2830</v>
      </c>
      <c r="D1087" t="s">
        <v>2780</v>
      </c>
      <c r="E1087" t="s">
        <v>2818</v>
      </c>
      <c r="F1087" t="str">
        <f>"184/307"</f>
        <v>184/307</v>
      </c>
      <c r="G1087" t="s">
        <v>5498</v>
      </c>
      <c r="H1087" t="s">
        <v>5499</v>
      </c>
      <c r="I1087">
        <v>28.17</v>
      </c>
    </row>
    <row r="1088" spans="1:9" ht="12.75">
      <c r="A1088">
        <v>1083</v>
      </c>
      <c r="B1088" t="s">
        <v>2879</v>
      </c>
      <c r="C1088" t="s">
        <v>2951</v>
      </c>
      <c r="D1088" t="s">
        <v>2780</v>
      </c>
      <c r="E1088" t="s">
        <v>2781</v>
      </c>
      <c r="F1088" t="str">
        <f>"256/329"</f>
        <v>256/329</v>
      </c>
      <c r="G1088" t="s">
        <v>3561</v>
      </c>
      <c r="H1088" t="s">
        <v>5500</v>
      </c>
      <c r="I1088">
        <v>28.17</v>
      </c>
    </row>
    <row r="1089" spans="1:9" ht="12.75">
      <c r="A1089">
        <v>1084</v>
      </c>
      <c r="B1089" t="s">
        <v>5501</v>
      </c>
      <c r="C1089" t="s">
        <v>3594</v>
      </c>
      <c r="D1089" t="s">
        <v>2780</v>
      </c>
      <c r="E1089" t="s">
        <v>2973</v>
      </c>
      <c r="F1089" t="str">
        <f>"75/167"</f>
        <v>75/167</v>
      </c>
      <c r="G1089" t="s">
        <v>5502</v>
      </c>
      <c r="H1089" t="s">
        <v>5503</v>
      </c>
      <c r="I1089">
        <v>28.17</v>
      </c>
    </row>
    <row r="1090" spans="1:9" ht="12.75">
      <c r="A1090">
        <v>1085</v>
      </c>
      <c r="B1090" t="s">
        <v>5504</v>
      </c>
      <c r="C1090" t="s">
        <v>5505</v>
      </c>
      <c r="D1090" t="s">
        <v>2780</v>
      </c>
      <c r="E1090" t="s">
        <v>2781</v>
      </c>
      <c r="F1090" t="str">
        <f>"257/329"</f>
        <v>257/329</v>
      </c>
      <c r="G1090" t="s">
        <v>59</v>
      </c>
      <c r="H1090" t="s">
        <v>5506</v>
      </c>
      <c r="I1090">
        <v>28.16</v>
      </c>
    </row>
    <row r="1091" spans="1:9" ht="12.75">
      <c r="A1091">
        <v>1086</v>
      </c>
      <c r="B1091" t="s">
        <v>5005</v>
      </c>
      <c r="C1091" t="s">
        <v>3421</v>
      </c>
      <c r="D1091" t="s">
        <v>2780</v>
      </c>
      <c r="E1091" t="s">
        <v>2818</v>
      </c>
      <c r="F1091" t="str">
        <f>"185/307"</f>
        <v>185/307</v>
      </c>
      <c r="G1091" t="s">
        <v>5486</v>
      </c>
      <c r="H1091" t="s">
        <v>5507</v>
      </c>
      <c r="I1091">
        <v>28.16</v>
      </c>
    </row>
    <row r="1092" spans="1:9" ht="12.75">
      <c r="A1092">
        <v>1087</v>
      </c>
      <c r="B1092" t="s">
        <v>5508</v>
      </c>
      <c r="C1092" t="s">
        <v>2895</v>
      </c>
      <c r="D1092" t="s">
        <v>2780</v>
      </c>
      <c r="E1092" t="s">
        <v>2823</v>
      </c>
      <c r="F1092" t="str">
        <f>"376/504"</f>
        <v>376/504</v>
      </c>
      <c r="G1092" t="s">
        <v>5509</v>
      </c>
      <c r="H1092" t="s">
        <v>5510</v>
      </c>
      <c r="I1092">
        <v>28.16</v>
      </c>
    </row>
    <row r="1093" spans="1:9" ht="12.75">
      <c r="A1093">
        <v>1088</v>
      </c>
      <c r="B1093" t="s">
        <v>5511</v>
      </c>
      <c r="C1093" t="s">
        <v>3201</v>
      </c>
      <c r="D1093" t="s">
        <v>2780</v>
      </c>
      <c r="E1093" t="s">
        <v>2799</v>
      </c>
      <c r="F1093" t="str">
        <f>"76/99"</f>
        <v>76/99</v>
      </c>
      <c r="G1093" t="s">
        <v>5512</v>
      </c>
      <c r="H1093" t="s">
        <v>5513</v>
      </c>
      <c r="I1093">
        <v>28.14</v>
      </c>
    </row>
    <row r="1094" spans="1:9" ht="12.75">
      <c r="A1094">
        <v>1089</v>
      </c>
      <c r="B1094" t="s">
        <v>5514</v>
      </c>
      <c r="C1094" t="s">
        <v>2830</v>
      </c>
      <c r="D1094" t="s">
        <v>2780</v>
      </c>
      <c r="E1094" t="s">
        <v>2818</v>
      </c>
      <c r="F1094" t="str">
        <f>"186/307"</f>
        <v>186/307</v>
      </c>
      <c r="G1094" t="s">
        <v>5515</v>
      </c>
      <c r="H1094" t="s">
        <v>5516</v>
      </c>
      <c r="I1094">
        <v>28.13</v>
      </c>
    </row>
    <row r="1095" spans="1:9" ht="12.75">
      <c r="A1095">
        <v>1090</v>
      </c>
      <c r="B1095" t="s">
        <v>5517</v>
      </c>
      <c r="C1095" t="s">
        <v>2857</v>
      </c>
      <c r="D1095" t="s">
        <v>2780</v>
      </c>
      <c r="E1095" t="s">
        <v>2823</v>
      </c>
      <c r="F1095" t="str">
        <f>"377/504"</f>
        <v>377/504</v>
      </c>
      <c r="G1095" t="s">
        <v>2994</v>
      </c>
      <c r="H1095" t="s">
        <v>5518</v>
      </c>
      <c r="I1095">
        <v>28.12</v>
      </c>
    </row>
    <row r="1096" spans="1:9" ht="12.75">
      <c r="A1096">
        <v>1091</v>
      </c>
      <c r="B1096" t="s">
        <v>5519</v>
      </c>
      <c r="C1096" t="s">
        <v>3098</v>
      </c>
      <c r="D1096" t="s">
        <v>2780</v>
      </c>
      <c r="E1096" t="s">
        <v>2781</v>
      </c>
      <c r="F1096" t="str">
        <f>"258/329"</f>
        <v>258/329</v>
      </c>
      <c r="G1096" t="s">
        <v>5520</v>
      </c>
      <c r="H1096" t="s">
        <v>5521</v>
      </c>
      <c r="I1096">
        <v>28.1</v>
      </c>
    </row>
    <row r="1097" spans="1:9" ht="12.75">
      <c r="A1097">
        <v>1092</v>
      </c>
      <c r="B1097" t="s">
        <v>5522</v>
      </c>
      <c r="C1097" t="s">
        <v>3087</v>
      </c>
      <c r="D1097" t="s">
        <v>2780</v>
      </c>
      <c r="E1097" t="s">
        <v>2973</v>
      </c>
      <c r="F1097" t="str">
        <f>"76/167"</f>
        <v>76/167</v>
      </c>
      <c r="G1097" t="s">
        <v>5523</v>
      </c>
      <c r="H1097" t="s">
        <v>5524</v>
      </c>
      <c r="I1097">
        <v>28.1</v>
      </c>
    </row>
    <row r="1098" spans="1:9" ht="12.75">
      <c r="A1098">
        <v>1093</v>
      </c>
      <c r="B1098" t="s">
        <v>5525</v>
      </c>
      <c r="C1098" t="s">
        <v>2779</v>
      </c>
      <c r="D1098" t="s">
        <v>2780</v>
      </c>
      <c r="E1098" t="s">
        <v>2799</v>
      </c>
      <c r="F1098" t="str">
        <f>"77/99"</f>
        <v>77/99</v>
      </c>
      <c r="G1098" t="s">
        <v>3297</v>
      </c>
      <c r="H1098" t="s">
        <v>5526</v>
      </c>
      <c r="I1098">
        <v>28.1</v>
      </c>
    </row>
    <row r="1099" spans="1:9" ht="12.75">
      <c r="A1099">
        <v>1094</v>
      </c>
      <c r="B1099" t="s">
        <v>5527</v>
      </c>
      <c r="C1099" t="s">
        <v>3417</v>
      </c>
      <c r="D1099" t="s">
        <v>2780</v>
      </c>
      <c r="E1099" t="s">
        <v>2818</v>
      </c>
      <c r="F1099" t="str">
        <f>"187/307"</f>
        <v>187/307</v>
      </c>
      <c r="G1099" t="s">
        <v>5523</v>
      </c>
      <c r="H1099" t="s">
        <v>5528</v>
      </c>
      <c r="I1099">
        <v>28.09</v>
      </c>
    </row>
    <row r="1100" spans="1:9" ht="12.75">
      <c r="A1100">
        <v>1095</v>
      </c>
      <c r="B1100" t="s">
        <v>5529</v>
      </c>
      <c r="C1100" t="s">
        <v>3213</v>
      </c>
      <c r="D1100" t="s">
        <v>2780</v>
      </c>
      <c r="E1100" t="s">
        <v>2823</v>
      </c>
      <c r="F1100" t="str">
        <f>"378/504"</f>
        <v>378/504</v>
      </c>
      <c r="G1100" t="s">
        <v>3306</v>
      </c>
      <c r="H1100" t="s">
        <v>5530</v>
      </c>
      <c r="I1100">
        <v>28.07</v>
      </c>
    </row>
    <row r="1101" spans="1:9" ht="12.75">
      <c r="A1101">
        <v>1096</v>
      </c>
      <c r="B1101" t="s">
        <v>5531</v>
      </c>
      <c r="C1101" t="s">
        <v>5211</v>
      </c>
      <c r="D1101" t="s">
        <v>2780</v>
      </c>
      <c r="E1101" t="s">
        <v>2781</v>
      </c>
      <c r="F1101" t="str">
        <f>"259/329"</f>
        <v>259/329</v>
      </c>
      <c r="G1101" t="s">
        <v>5532</v>
      </c>
      <c r="H1101" t="s">
        <v>5533</v>
      </c>
      <c r="I1101">
        <v>28.07</v>
      </c>
    </row>
    <row r="1102" spans="1:9" ht="12.75">
      <c r="A1102">
        <v>1097</v>
      </c>
      <c r="B1102" t="s">
        <v>278</v>
      </c>
      <c r="C1102" t="s">
        <v>2865</v>
      </c>
      <c r="D1102" t="s">
        <v>2780</v>
      </c>
      <c r="E1102" t="s">
        <v>3209</v>
      </c>
      <c r="F1102" t="str">
        <f>"17/62"</f>
        <v>17/62</v>
      </c>
      <c r="G1102" t="s">
        <v>3088</v>
      </c>
      <c r="H1102" t="s">
        <v>5534</v>
      </c>
      <c r="I1102">
        <v>28.06</v>
      </c>
    </row>
    <row r="1103" spans="1:9" ht="12.75">
      <c r="A1103" s="1">
        <v>1098</v>
      </c>
      <c r="B1103" s="1" t="s">
        <v>5535</v>
      </c>
      <c r="C1103" s="1" t="s">
        <v>2836</v>
      </c>
      <c r="D1103" s="1" t="s">
        <v>2780</v>
      </c>
      <c r="E1103" s="1" t="s">
        <v>2823</v>
      </c>
      <c r="F1103" s="1" t="str">
        <f>"379/504"</f>
        <v>379/504</v>
      </c>
      <c r="G1103" s="1" t="s">
        <v>5536</v>
      </c>
      <c r="H1103" s="1" t="s">
        <v>5537</v>
      </c>
      <c r="I1103" s="1">
        <v>28.06</v>
      </c>
    </row>
    <row r="1104" spans="1:9" ht="12.75">
      <c r="A1104">
        <v>1099</v>
      </c>
      <c r="B1104" t="s">
        <v>5538</v>
      </c>
      <c r="C1104" t="s">
        <v>3356</v>
      </c>
      <c r="D1104" t="s">
        <v>2780</v>
      </c>
      <c r="E1104" t="s">
        <v>2799</v>
      </c>
      <c r="F1104" t="str">
        <f>"78/99"</f>
        <v>78/99</v>
      </c>
      <c r="G1104" t="s">
        <v>4954</v>
      </c>
      <c r="H1104" t="s">
        <v>5539</v>
      </c>
      <c r="I1104">
        <v>28.06</v>
      </c>
    </row>
    <row r="1105" spans="1:9" ht="12.75">
      <c r="A1105">
        <v>1100</v>
      </c>
      <c r="B1105" t="s">
        <v>2988</v>
      </c>
      <c r="C1105" t="s">
        <v>2865</v>
      </c>
      <c r="D1105" t="s">
        <v>2780</v>
      </c>
      <c r="E1105" t="s">
        <v>2781</v>
      </c>
      <c r="F1105" t="str">
        <f>"260/329"</f>
        <v>260/329</v>
      </c>
      <c r="G1105" t="s">
        <v>3492</v>
      </c>
      <c r="H1105" t="s">
        <v>5540</v>
      </c>
      <c r="I1105">
        <v>28.05</v>
      </c>
    </row>
    <row r="1106" spans="1:9" ht="12.75">
      <c r="A1106">
        <v>1101</v>
      </c>
      <c r="B1106" t="s">
        <v>5541</v>
      </c>
      <c r="C1106" t="s">
        <v>3174</v>
      </c>
      <c r="D1106" t="s">
        <v>2780</v>
      </c>
      <c r="E1106" t="s">
        <v>2781</v>
      </c>
      <c r="F1106" t="str">
        <f>"261/329"</f>
        <v>261/329</v>
      </c>
      <c r="G1106" t="s">
        <v>5480</v>
      </c>
      <c r="H1106" t="s">
        <v>5542</v>
      </c>
      <c r="I1106">
        <v>28.02</v>
      </c>
    </row>
    <row r="1107" spans="1:9" ht="12.75">
      <c r="A1107">
        <v>1102</v>
      </c>
      <c r="B1107" t="s">
        <v>5543</v>
      </c>
      <c r="C1107" t="s">
        <v>2868</v>
      </c>
      <c r="D1107" t="s">
        <v>2780</v>
      </c>
      <c r="E1107" t="s">
        <v>2786</v>
      </c>
      <c r="F1107" t="str">
        <f>"53/58"</f>
        <v>53/58</v>
      </c>
      <c r="G1107" t="s">
        <v>858</v>
      </c>
      <c r="H1107" t="s">
        <v>5544</v>
      </c>
      <c r="I1107">
        <v>28.02</v>
      </c>
    </row>
    <row r="1108" spans="1:9" ht="12.75">
      <c r="A1108">
        <v>1103</v>
      </c>
      <c r="B1108" t="s">
        <v>5545</v>
      </c>
      <c r="C1108" t="s">
        <v>2861</v>
      </c>
      <c r="D1108" t="s">
        <v>2780</v>
      </c>
      <c r="E1108" t="s">
        <v>2781</v>
      </c>
      <c r="F1108" t="str">
        <f>"262/329"</f>
        <v>262/329</v>
      </c>
      <c r="G1108" t="s">
        <v>5546</v>
      </c>
      <c r="H1108" t="s">
        <v>5547</v>
      </c>
      <c r="I1108">
        <v>28.01</v>
      </c>
    </row>
    <row r="1109" spans="1:9" ht="12.75">
      <c r="A1109">
        <v>1104</v>
      </c>
      <c r="B1109" t="s">
        <v>5548</v>
      </c>
      <c r="C1109" t="s">
        <v>2865</v>
      </c>
      <c r="D1109" t="s">
        <v>2780</v>
      </c>
      <c r="E1109" t="s">
        <v>3209</v>
      </c>
      <c r="F1109" t="str">
        <f>"18/62"</f>
        <v>18/62</v>
      </c>
      <c r="G1109" t="s">
        <v>5549</v>
      </c>
      <c r="H1109" t="s">
        <v>5550</v>
      </c>
      <c r="I1109">
        <v>28.01</v>
      </c>
    </row>
    <row r="1110" spans="1:9" ht="12.75">
      <c r="A1110">
        <v>1105</v>
      </c>
      <c r="B1110" t="s">
        <v>726</v>
      </c>
      <c r="C1110" t="s">
        <v>3017</v>
      </c>
      <c r="D1110" t="s">
        <v>2780</v>
      </c>
      <c r="E1110" t="s">
        <v>2781</v>
      </c>
      <c r="F1110" t="str">
        <f>"263/329"</f>
        <v>263/329</v>
      </c>
      <c r="G1110" t="s">
        <v>975</v>
      </c>
      <c r="H1110" t="s">
        <v>5551</v>
      </c>
      <c r="I1110">
        <v>28</v>
      </c>
    </row>
    <row r="1111" spans="1:9" ht="12.75">
      <c r="A1111">
        <v>1106</v>
      </c>
      <c r="B1111" t="s">
        <v>5552</v>
      </c>
      <c r="C1111" t="s">
        <v>3174</v>
      </c>
      <c r="D1111" t="s">
        <v>2780</v>
      </c>
      <c r="E1111" t="s">
        <v>3209</v>
      </c>
      <c r="F1111" t="str">
        <f>"19/62"</f>
        <v>19/62</v>
      </c>
      <c r="G1111" t="s">
        <v>5553</v>
      </c>
      <c r="H1111" t="s">
        <v>5554</v>
      </c>
      <c r="I1111">
        <v>27.99</v>
      </c>
    </row>
    <row r="1112" spans="1:9" ht="12.75">
      <c r="A1112">
        <v>1107</v>
      </c>
      <c r="B1112" t="s">
        <v>5555</v>
      </c>
      <c r="C1112" t="s">
        <v>615</v>
      </c>
      <c r="D1112" t="s">
        <v>2780</v>
      </c>
      <c r="E1112" t="s">
        <v>2823</v>
      </c>
      <c r="F1112" t="str">
        <f>"380/504"</f>
        <v>380/504</v>
      </c>
      <c r="G1112" t="s">
        <v>5556</v>
      </c>
      <c r="H1112" t="s">
        <v>5557</v>
      </c>
      <c r="I1112">
        <v>27.98</v>
      </c>
    </row>
    <row r="1113" spans="1:9" ht="12.75">
      <c r="A1113">
        <v>1108</v>
      </c>
      <c r="B1113" t="s">
        <v>5558</v>
      </c>
      <c r="C1113" t="s">
        <v>5559</v>
      </c>
      <c r="D1113" t="s">
        <v>3031</v>
      </c>
      <c r="E1113" t="s">
        <v>3244</v>
      </c>
      <c r="F1113" t="str">
        <f>"17/63"</f>
        <v>17/63</v>
      </c>
      <c r="G1113" t="s">
        <v>5480</v>
      </c>
      <c r="H1113" t="s">
        <v>5560</v>
      </c>
      <c r="I1113">
        <v>27.98</v>
      </c>
    </row>
    <row r="1114" spans="1:9" ht="12.75">
      <c r="A1114">
        <v>1109</v>
      </c>
      <c r="B1114" t="s">
        <v>2976</v>
      </c>
      <c r="C1114" t="s">
        <v>5561</v>
      </c>
      <c r="D1114" t="s">
        <v>2780</v>
      </c>
      <c r="E1114" t="s">
        <v>2818</v>
      </c>
      <c r="F1114" t="str">
        <f>"188/307"</f>
        <v>188/307</v>
      </c>
      <c r="G1114" t="s">
        <v>1130</v>
      </c>
      <c r="H1114" t="s">
        <v>5562</v>
      </c>
      <c r="I1114">
        <v>27.96</v>
      </c>
    </row>
    <row r="1115" spans="1:9" ht="12.75">
      <c r="A1115">
        <v>1110</v>
      </c>
      <c r="B1115" t="s">
        <v>5563</v>
      </c>
      <c r="C1115" t="s">
        <v>5564</v>
      </c>
      <c r="D1115" t="s">
        <v>2780</v>
      </c>
      <c r="E1115" t="s">
        <v>2799</v>
      </c>
      <c r="F1115" t="str">
        <f>"79/99"</f>
        <v>79/99</v>
      </c>
      <c r="G1115" t="s">
        <v>5565</v>
      </c>
      <c r="H1115" t="s">
        <v>5566</v>
      </c>
      <c r="I1115">
        <v>27.96</v>
      </c>
    </row>
    <row r="1116" spans="1:9" ht="12.75">
      <c r="A1116">
        <v>1111</v>
      </c>
      <c r="B1116" t="s">
        <v>5567</v>
      </c>
      <c r="C1116" t="s">
        <v>3471</v>
      </c>
      <c r="D1116" t="s">
        <v>2780</v>
      </c>
      <c r="E1116" t="s">
        <v>2823</v>
      </c>
      <c r="F1116" t="str">
        <f>"381/504"</f>
        <v>381/504</v>
      </c>
      <c r="G1116" t="s">
        <v>5568</v>
      </c>
      <c r="H1116" t="s">
        <v>5569</v>
      </c>
      <c r="I1116">
        <v>27.95</v>
      </c>
    </row>
    <row r="1117" spans="1:9" ht="12.75">
      <c r="A1117">
        <v>1112</v>
      </c>
      <c r="B1117" t="s">
        <v>5570</v>
      </c>
      <c r="C1117" t="s">
        <v>3017</v>
      </c>
      <c r="D1117" t="s">
        <v>2780</v>
      </c>
      <c r="E1117" t="s">
        <v>2781</v>
      </c>
      <c r="F1117" t="str">
        <f>"264/329"</f>
        <v>264/329</v>
      </c>
      <c r="G1117" t="s">
        <v>5571</v>
      </c>
      <c r="H1117" t="s">
        <v>5572</v>
      </c>
      <c r="I1117">
        <v>27.94</v>
      </c>
    </row>
    <row r="1118" spans="1:9" ht="12.75">
      <c r="A1118">
        <v>1113</v>
      </c>
      <c r="B1118" t="s">
        <v>5573</v>
      </c>
      <c r="C1118" t="s">
        <v>2814</v>
      </c>
      <c r="D1118" t="s">
        <v>2780</v>
      </c>
      <c r="E1118" t="s">
        <v>2823</v>
      </c>
      <c r="F1118" t="str">
        <f>"382/504"</f>
        <v>382/504</v>
      </c>
      <c r="G1118" t="s">
        <v>3516</v>
      </c>
      <c r="H1118" t="s">
        <v>5574</v>
      </c>
      <c r="I1118">
        <v>27.93</v>
      </c>
    </row>
    <row r="1119" spans="1:9" ht="12.75">
      <c r="A1119">
        <v>1114</v>
      </c>
      <c r="B1119" t="s">
        <v>5575</v>
      </c>
      <c r="C1119" t="s">
        <v>5576</v>
      </c>
      <c r="D1119" t="s">
        <v>2780</v>
      </c>
      <c r="E1119" t="s">
        <v>2973</v>
      </c>
      <c r="F1119" t="str">
        <f>"77/167"</f>
        <v>77/167</v>
      </c>
      <c r="G1119" t="s">
        <v>5577</v>
      </c>
      <c r="H1119" t="s">
        <v>5578</v>
      </c>
      <c r="I1119">
        <v>27.93</v>
      </c>
    </row>
    <row r="1120" spans="1:9" ht="12.75">
      <c r="A1120">
        <v>1115</v>
      </c>
      <c r="B1120" t="s">
        <v>5579</v>
      </c>
      <c r="C1120" t="s">
        <v>5580</v>
      </c>
      <c r="D1120" t="s">
        <v>2780</v>
      </c>
      <c r="E1120" t="s">
        <v>2973</v>
      </c>
      <c r="F1120" t="str">
        <f>"78/167"</f>
        <v>78/167</v>
      </c>
      <c r="G1120" t="s">
        <v>446</v>
      </c>
      <c r="H1120" t="s">
        <v>5581</v>
      </c>
      <c r="I1120">
        <v>27.93</v>
      </c>
    </row>
    <row r="1121" spans="1:9" ht="12.75">
      <c r="A1121">
        <v>1116</v>
      </c>
      <c r="B1121" t="s">
        <v>5396</v>
      </c>
      <c r="C1121" t="s">
        <v>5582</v>
      </c>
      <c r="D1121" t="s">
        <v>3031</v>
      </c>
      <c r="E1121" t="s">
        <v>3244</v>
      </c>
      <c r="F1121" t="str">
        <f>"18/63"</f>
        <v>18/63</v>
      </c>
      <c r="G1121" t="s">
        <v>59</v>
      </c>
      <c r="H1121" t="s">
        <v>5583</v>
      </c>
      <c r="I1121">
        <v>27.92</v>
      </c>
    </row>
    <row r="1122" spans="1:9" ht="12.75">
      <c r="A1122">
        <v>1117</v>
      </c>
      <c r="B1122" t="s">
        <v>772</v>
      </c>
      <c r="C1122" t="s">
        <v>2942</v>
      </c>
      <c r="D1122" t="s">
        <v>2780</v>
      </c>
      <c r="E1122" t="s">
        <v>2781</v>
      </c>
      <c r="F1122" t="str">
        <f>"265/329"</f>
        <v>265/329</v>
      </c>
      <c r="G1122" t="s">
        <v>2804</v>
      </c>
      <c r="H1122" t="s">
        <v>5584</v>
      </c>
      <c r="I1122">
        <v>27.92</v>
      </c>
    </row>
    <row r="1123" spans="1:9" ht="12.75">
      <c r="A1123">
        <v>1118</v>
      </c>
      <c r="B1123" t="s">
        <v>5585</v>
      </c>
      <c r="C1123" t="s">
        <v>5586</v>
      </c>
      <c r="D1123" t="s">
        <v>2780</v>
      </c>
      <c r="E1123" t="s">
        <v>2818</v>
      </c>
      <c r="F1123" t="str">
        <f>"189/307"</f>
        <v>189/307</v>
      </c>
      <c r="G1123" t="s">
        <v>5587</v>
      </c>
      <c r="H1123" t="s">
        <v>5588</v>
      </c>
      <c r="I1123">
        <v>27.9</v>
      </c>
    </row>
    <row r="1124" spans="1:9" ht="12.75">
      <c r="A1124">
        <v>1119</v>
      </c>
      <c r="B1124" t="s">
        <v>5589</v>
      </c>
      <c r="C1124" t="s">
        <v>3346</v>
      </c>
      <c r="D1124" t="s">
        <v>3031</v>
      </c>
      <c r="E1124" t="s">
        <v>2973</v>
      </c>
      <c r="F1124" t="str">
        <f>"79/167"</f>
        <v>79/167</v>
      </c>
      <c r="G1124" t="s">
        <v>5590</v>
      </c>
      <c r="H1124" t="s">
        <v>5591</v>
      </c>
      <c r="I1124">
        <v>27.88</v>
      </c>
    </row>
    <row r="1125" spans="1:9" ht="12.75">
      <c r="A1125">
        <v>1120</v>
      </c>
      <c r="B1125" t="s">
        <v>5592</v>
      </c>
      <c r="C1125" t="s">
        <v>5593</v>
      </c>
      <c r="D1125" t="s">
        <v>2780</v>
      </c>
      <c r="E1125" t="s">
        <v>2818</v>
      </c>
      <c r="F1125" t="str">
        <f>"190/307"</f>
        <v>190/307</v>
      </c>
      <c r="G1125" t="s">
        <v>5594</v>
      </c>
      <c r="H1125" t="s">
        <v>5595</v>
      </c>
      <c r="I1125">
        <v>27.88</v>
      </c>
    </row>
    <row r="1126" spans="1:9" ht="12.75">
      <c r="A1126" s="1">
        <v>1121</v>
      </c>
      <c r="B1126" s="1" t="s">
        <v>5596</v>
      </c>
      <c r="C1126" s="1" t="s">
        <v>2991</v>
      </c>
      <c r="D1126" s="1" t="s">
        <v>2780</v>
      </c>
      <c r="E1126" s="1" t="s">
        <v>2818</v>
      </c>
      <c r="F1126" s="1" t="str">
        <f>"191/307"</f>
        <v>191/307</v>
      </c>
      <c r="G1126" s="1" t="s">
        <v>5536</v>
      </c>
      <c r="H1126" s="1" t="s">
        <v>5597</v>
      </c>
      <c r="I1126" s="1">
        <v>27.88</v>
      </c>
    </row>
    <row r="1127" spans="1:9" ht="12.75">
      <c r="A1127">
        <v>1122</v>
      </c>
      <c r="B1127" t="s">
        <v>5598</v>
      </c>
      <c r="C1127" t="s">
        <v>3030</v>
      </c>
      <c r="D1127" t="s">
        <v>3031</v>
      </c>
      <c r="E1127" t="s">
        <v>3032</v>
      </c>
      <c r="F1127" t="str">
        <f>"29/54"</f>
        <v>29/54</v>
      </c>
      <c r="G1127" t="s">
        <v>2974</v>
      </c>
      <c r="H1127" t="s">
        <v>5599</v>
      </c>
      <c r="I1127">
        <v>27.87</v>
      </c>
    </row>
    <row r="1128" spans="1:9" ht="12.75">
      <c r="A1128">
        <v>1123</v>
      </c>
      <c r="B1128" t="s">
        <v>5600</v>
      </c>
      <c r="C1128" t="s">
        <v>2807</v>
      </c>
      <c r="D1128" t="s">
        <v>2780</v>
      </c>
      <c r="E1128" t="s">
        <v>2781</v>
      </c>
      <c r="F1128" t="str">
        <f>"266/329"</f>
        <v>266/329</v>
      </c>
      <c r="G1128" t="s">
        <v>369</v>
      </c>
      <c r="H1128" t="s">
        <v>5601</v>
      </c>
      <c r="I1128">
        <v>27.87</v>
      </c>
    </row>
    <row r="1129" spans="1:9" ht="12.75">
      <c r="A1129">
        <v>1124</v>
      </c>
      <c r="B1129" t="s">
        <v>5602</v>
      </c>
      <c r="C1129" t="s">
        <v>5603</v>
      </c>
      <c r="D1129" t="s">
        <v>2780</v>
      </c>
      <c r="E1129" t="s">
        <v>2818</v>
      </c>
      <c r="F1129" t="str">
        <f>"192/307"</f>
        <v>192/307</v>
      </c>
      <c r="G1129" t="s">
        <v>5604</v>
      </c>
      <c r="H1129" t="s">
        <v>5605</v>
      </c>
      <c r="I1129">
        <v>27.87</v>
      </c>
    </row>
    <row r="1130" spans="1:9" ht="12.75">
      <c r="A1130">
        <v>1125</v>
      </c>
      <c r="B1130" t="s">
        <v>5606</v>
      </c>
      <c r="C1130" t="s">
        <v>2966</v>
      </c>
      <c r="D1130" t="s">
        <v>2780</v>
      </c>
      <c r="E1130" t="s">
        <v>2781</v>
      </c>
      <c r="F1130" t="str">
        <f>"267/329"</f>
        <v>267/329</v>
      </c>
      <c r="G1130" t="s">
        <v>1039</v>
      </c>
      <c r="H1130" t="s">
        <v>5607</v>
      </c>
      <c r="I1130">
        <v>27.86</v>
      </c>
    </row>
    <row r="1131" spans="1:9" ht="12.75">
      <c r="A1131">
        <v>1126</v>
      </c>
      <c r="B1131" t="s">
        <v>5608</v>
      </c>
      <c r="C1131" t="s">
        <v>2868</v>
      </c>
      <c r="D1131" t="s">
        <v>2780</v>
      </c>
      <c r="E1131" t="s">
        <v>2823</v>
      </c>
      <c r="F1131" t="str">
        <f>"383/504"</f>
        <v>383/504</v>
      </c>
      <c r="G1131" t="s">
        <v>1039</v>
      </c>
      <c r="H1131" t="s">
        <v>5609</v>
      </c>
      <c r="I1131">
        <v>27.86</v>
      </c>
    </row>
    <row r="1132" spans="1:9" ht="12.75">
      <c r="A1132">
        <v>1127</v>
      </c>
      <c r="B1132" t="s">
        <v>5610</v>
      </c>
      <c r="C1132" t="s">
        <v>5611</v>
      </c>
      <c r="D1132" t="s">
        <v>2780</v>
      </c>
      <c r="E1132" t="s">
        <v>2973</v>
      </c>
      <c r="F1132" t="str">
        <f>"80/167"</f>
        <v>80/167</v>
      </c>
      <c r="G1132" t="s">
        <v>5612</v>
      </c>
      <c r="H1132" t="s">
        <v>5613</v>
      </c>
      <c r="I1132">
        <v>27.86</v>
      </c>
    </row>
    <row r="1133" spans="1:9" ht="12.75">
      <c r="A1133">
        <v>1128</v>
      </c>
      <c r="B1133" t="s">
        <v>5606</v>
      </c>
      <c r="C1133" t="s">
        <v>3286</v>
      </c>
      <c r="D1133" t="s">
        <v>2780</v>
      </c>
      <c r="E1133" t="s">
        <v>2823</v>
      </c>
      <c r="F1133" t="str">
        <f>"384/504"</f>
        <v>384/504</v>
      </c>
      <c r="G1133" t="s">
        <v>1039</v>
      </c>
      <c r="H1133" t="s">
        <v>5614</v>
      </c>
      <c r="I1133">
        <v>27.84</v>
      </c>
    </row>
    <row r="1134" spans="1:9" ht="12.75">
      <c r="A1134">
        <v>1129</v>
      </c>
      <c r="B1134" t="s">
        <v>5615</v>
      </c>
      <c r="C1134" t="s">
        <v>3045</v>
      </c>
      <c r="D1134" t="s">
        <v>2780</v>
      </c>
      <c r="E1134" t="s">
        <v>2973</v>
      </c>
      <c r="F1134" t="str">
        <f>"81/167"</f>
        <v>81/167</v>
      </c>
      <c r="G1134" t="s">
        <v>5616</v>
      </c>
      <c r="H1134" t="s">
        <v>5617</v>
      </c>
      <c r="I1134">
        <v>27.84</v>
      </c>
    </row>
    <row r="1135" spans="1:9" ht="12.75">
      <c r="A1135">
        <v>1130</v>
      </c>
      <c r="B1135" t="s">
        <v>5618</v>
      </c>
      <c r="C1135" t="s">
        <v>3141</v>
      </c>
      <c r="D1135" t="s">
        <v>2780</v>
      </c>
      <c r="E1135" t="s">
        <v>2823</v>
      </c>
      <c r="F1135" t="str">
        <f>"385/504"</f>
        <v>385/504</v>
      </c>
      <c r="G1135" t="s">
        <v>369</v>
      </c>
      <c r="H1135" t="s">
        <v>5619</v>
      </c>
      <c r="I1135">
        <v>27.84</v>
      </c>
    </row>
    <row r="1136" spans="1:9" ht="12.75">
      <c r="A1136">
        <v>1131</v>
      </c>
      <c r="B1136" t="s">
        <v>5620</v>
      </c>
      <c r="C1136" t="s">
        <v>2814</v>
      </c>
      <c r="D1136" t="s">
        <v>2780</v>
      </c>
      <c r="E1136" t="s">
        <v>2823</v>
      </c>
      <c r="F1136" t="str">
        <f>"386/504"</f>
        <v>386/504</v>
      </c>
      <c r="G1136" t="s">
        <v>3088</v>
      </c>
      <c r="H1136" t="s">
        <v>5621</v>
      </c>
      <c r="I1136">
        <v>27.84</v>
      </c>
    </row>
    <row r="1137" spans="1:9" ht="12.75">
      <c r="A1137">
        <v>1132</v>
      </c>
      <c r="B1137" t="s">
        <v>5622</v>
      </c>
      <c r="C1137" t="s">
        <v>2836</v>
      </c>
      <c r="D1137" t="s">
        <v>2780</v>
      </c>
      <c r="E1137" t="s">
        <v>2781</v>
      </c>
      <c r="F1137" t="str">
        <f>"268/329"</f>
        <v>268/329</v>
      </c>
      <c r="G1137" t="s">
        <v>3217</v>
      </c>
      <c r="H1137" t="s">
        <v>5623</v>
      </c>
      <c r="I1137">
        <v>27.83</v>
      </c>
    </row>
    <row r="1138" spans="1:9" ht="12.75">
      <c r="A1138">
        <v>1133</v>
      </c>
      <c r="B1138" t="s">
        <v>5624</v>
      </c>
      <c r="C1138" t="s">
        <v>5625</v>
      </c>
      <c r="D1138" t="s">
        <v>3031</v>
      </c>
      <c r="E1138" t="s">
        <v>3032</v>
      </c>
      <c r="F1138" t="str">
        <f>"30/54"</f>
        <v>30/54</v>
      </c>
      <c r="G1138" t="s">
        <v>2800</v>
      </c>
      <c r="H1138" t="s">
        <v>5626</v>
      </c>
      <c r="I1138">
        <v>27.82</v>
      </c>
    </row>
    <row r="1139" spans="1:9" ht="12.75">
      <c r="A1139">
        <v>1134</v>
      </c>
      <c r="B1139" t="s">
        <v>3143</v>
      </c>
      <c r="C1139" t="s">
        <v>4894</v>
      </c>
      <c r="D1139" t="s">
        <v>2780</v>
      </c>
      <c r="E1139" t="s">
        <v>2973</v>
      </c>
      <c r="F1139" t="str">
        <f>"82/167"</f>
        <v>82/167</v>
      </c>
      <c r="G1139" t="s">
        <v>4921</v>
      </c>
      <c r="H1139" t="s">
        <v>5627</v>
      </c>
      <c r="I1139">
        <v>27.8</v>
      </c>
    </row>
    <row r="1140" spans="1:9" ht="12.75">
      <c r="A1140">
        <v>1135</v>
      </c>
      <c r="B1140" t="s">
        <v>5628</v>
      </c>
      <c r="C1140" t="s">
        <v>2865</v>
      </c>
      <c r="D1140" t="s">
        <v>2780</v>
      </c>
      <c r="E1140" t="s">
        <v>2823</v>
      </c>
      <c r="F1140" t="str">
        <f>"387/504"</f>
        <v>387/504</v>
      </c>
      <c r="G1140" t="s">
        <v>5629</v>
      </c>
      <c r="H1140" t="s">
        <v>5630</v>
      </c>
      <c r="I1140">
        <v>27.79</v>
      </c>
    </row>
    <row r="1141" spans="1:9" ht="12.75">
      <c r="A1141">
        <v>1136</v>
      </c>
      <c r="B1141" t="s">
        <v>5631</v>
      </c>
      <c r="C1141" t="s">
        <v>2807</v>
      </c>
      <c r="D1141" t="s">
        <v>2780</v>
      </c>
      <c r="E1141" t="s">
        <v>2781</v>
      </c>
      <c r="F1141" t="str">
        <f>"269/329"</f>
        <v>269/329</v>
      </c>
      <c r="G1141" t="s">
        <v>572</v>
      </c>
      <c r="H1141" t="s">
        <v>5632</v>
      </c>
      <c r="I1141">
        <v>27.77</v>
      </c>
    </row>
    <row r="1142" spans="1:9" ht="12.75">
      <c r="A1142">
        <v>1137</v>
      </c>
      <c r="B1142" t="s">
        <v>5494</v>
      </c>
      <c r="C1142" t="s">
        <v>5633</v>
      </c>
      <c r="D1142" t="s">
        <v>3031</v>
      </c>
      <c r="E1142" t="s">
        <v>3244</v>
      </c>
      <c r="F1142" t="str">
        <f>"19/63"</f>
        <v>19/63</v>
      </c>
      <c r="G1142" t="s">
        <v>2787</v>
      </c>
      <c r="H1142" t="s">
        <v>5634</v>
      </c>
      <c r="I1142">
        <v>27.76</v>
      </c>
    </row>
    <row r="1143" spans="1:9" ht="12.75">
      <c r="A1143">
        <v>1138</v>
      </c>
      <c r="B1143" t="s">
        <v>5635</v>
      </c>
      <c r="C1143" t="s">
        <v>4894</v>
      </c>
      <c r="D1143" t="s">
        <v>2780</v>
      </c>
      <c r="E1143" t="s">
        <v>2973</v>
      </c>
      <c r="F1143" t="str">
        <f>"83/167"</f>
        <v>83/167</v>
      </c>
      <c r="G1143" t="s">
        <v>4921</v>
      </c>
      <c r="H1143" t="s">
        <v>5636</v>
      </c>
      <c r="I1143">
        <v>27.75</v>
      </c>
    </row>
    <row r="1144" spans="1:9" ht="12.75">
      <c r="A1144">
        <v>1139</v>
      </c>
      <c r="B1144" t="s">
        <v>5637</v>
      </c>
      <c r="C1144" t="s">
        <v>3008</v>
      </c>
      <c r="D1144" t="s">
        <v>2780</v>
      </c>
      <c r="E1144" t="s">
        <v>2823</v>
      </c>
      <c r="F1144" t="str">
        <f>"388/504"</f>
        <v>388/504</v>
      </c>
      <c r="G1144" t="s">
        <v>3289</v>
      </c>
      <c r="H1144" t="s">
        <v>5638</v>
      </c>
      <c r="I1144">
        <v>27.74</v>
      </c>
    </row>
    <row r="1145" spans="1:9" ht="12.75">
      <c r="A1145">
        <v>1140</v>
      </c>
      <c r="B1145" t="s">
        <v>571</v>
      </c>
      <c r="C1145" t="s">
        <v>3008</v>
      </c>
      <c r="D1145" t="s">
        <v>2780</v>
      </c>
      <c r="E1145" t="s">
        <v>2823</v>
      </c>
      <c r="F1145" t="str">
        <f>"389/504"</f>
        <v>389/504</v>
      </c>
      <c r="G1145" t="s">
        <v>572</v>
      </c>
      <c r="H1145" t="s">
        <v>5639</v>
      </c>
      <c r="I1145">
        <v>27.73</v>
      </c>
    </row>
    <row r="1146" spans="1:9" ht="12.75">
      <c r="A1146">
        <v>1141</v>
      </c>
      <c r="B1146" t="s">
        <v>5640</v>
      </c>
      <c r="C1146" t="s">
        <v>3421</v>
      </c>
      <c r="D1146" t="s">
        <v>2780</v>
      </c>
      <c r="E1146" t="s">
        <v>2973</v>
      </c>
      <c r="F1146" t="str">
        <f>"84/167"</f>
        <v>84/167</v>
      </c>
      <c r="G1146" t="s">
        <v>5052</v>
      </c>
      <c r="H1146" t="s">
        <v>5641</v>
      </c>
      <c r="I1146">
        <v>27.72</v>
      </c>
    </row>
    <row r="1147" spans="1:9" ht="12.75">
      <c r="A1147">
        <v>1142</v>
      </c>
      <c r="B1147" t="s">
        <v>5642</v>
      </c>
      <c r="C1147" t="s">
        <v>3286</v>
      </c>
      <c r="D1147" t="s">
        <v>2780</v>
      </c>
      <c r="E1147" t="s">
        <v>2973</v>
      </c>
      <c r="F1147" t="str">
        <f>"85/167"</f>
        <v>85/167</v>
      </c>
      <c r="G1147" t="s">
        <v>5052</v>
      </c>
      <c r="H1147" t="s">
        <v>5643</v>
      </c>
      <c r="I1147">
        <v>27.72</v>
      </c>
    </row>
    <row r="1148" spans="1:9" ht="12.75">
      <c r="A1148">
        <v>1143</v>
      </c>
      <c r="B1148" t="s">
        <v>5644</v>
      </c>
      <c r="C1148" t="s">
        <v>3350</v>
      </c>
      <c r="D1148" t="s">
        <v>2780</v>
      </c>
      <c r="E1148" t="s">
        <v>2818</v>
      </c>
      <c r="F1148" t="str">
        <f>"193/307"</f>
        <v>193/307</v>
      </c>
      <c r="G1148" t="s">
        <v>138</v>
      </c>
      <c r="H1148" t="s">
        <v>5645</v>
      </c>
      <c r="I1148">
        <v>27.71</v>
      </c>
    </row>
    <row r="1149" spans="1:9" ht="12.75">
      <c r="A1149">
        <v>1144</v>
      </c>
      <c r="B1149" t="s">
        <v>5646</v>
      </c>
      <c r="C1149" t="s">
        <v>3164</v>
      </c>
      <c r="D1149" t="s">
        <v>2780</v>
      </c>
      <c r="E1149" t="s">
        <v>2818</v>
      </c>
      <c r="F1149" t="str">
        <f>"194/307"</f>
        <v>194/307</v>
      </c>
      <c r="G1149" t="s">
        <v>5647</v>
      </c>
      <c r="H1149" t="s">
        <v>5648</v>
      </c>
      <c r="I1149">
        <v>27.7</v>
      </c>
    </row>
    <row r="1150" spans="1:9" ht="12.75">
      <c r="A1150">
        <v>1145</v>
      </c>
      <c r="B1150" t="s">
        <v>5311</v>
      </c>
      <c r="C1150" t="s">
        <v>2807</v>
      </c>
      <c r="D1150" t="s">
        <v>2780</v>
      </c>
      <c r="E1150" t="s">
        <v>2781</v>
      </c>
      <c r="F1150" t="str">
        <f>"270/329"</f>
        <v>270/329</v>
      </c>
      <c r="G1150" t="s">
        <v>2804</v>
      </c>
      <c r="H1150" t="s">
        <v>5649</v>
      </c>
      <c r="I1150">
        <v>27.67</v>
      </c>
    </row>
    <row r="1151" spans="1:9" ht="12.75">
      <c r="A1151">
        <v>1146</v>
      </c>
      <c r="B1151" t="s">
        <v>5650</v>
      </c>
      <c r="C1151" t="s">
        <v>2868</v>
      </c>
      <c r="D1151" t="s">
        <v>2780</v>
      </c>
      <c r="E1151" t="s">
        <v>2799</v>
      </c>
      <c r="F1151" t="str">
        <f>"80/99"</f>
        <v>80/99</v>
      </c>
      <c r="G1151" t="s">
        <v>5027</v>
      </c>
      <c r="H1151" t="s">
        <v>5651</v>
      </c>
      <c r="I1151">
        <v>27.66</v>
      </c>
    </row>
    <row r="1152" spans="1:9" ht="12.75">
      <c r="A1152">
        <v>1147</v>
      </c>
      <c r="B1152" t="s">
        <v>5652</v>
      </c>
      <c r="C1152" t="s">
        <v>5653</v>
      </c>
      <c r="D1152" t="s">
        <v>2780</v>
      </c>
      <c r="E1152" t="s">
        <v>2823</v>
      </c>
      <c r="F1152" t="str">
        <f>"390/504"</f>
        <v>390/504</v>
      </c>
      <c r="G1152" t="s">
        <v>5654</v>
      </c>
      <c r="H1152" t="s">
        <v>5655</v>
      </c>
      <c r="I1152">
        <v>27.66</v>
      </c>
    </row>
    <row r="1153" spans="1:9" ht="12.75">
      <c r="A1153">
        <v>1148</v>
      </c>
      <c r="B1153" t="s">
        <v>5656</v>
      </c>
      <c r="C1153" t="s">
        <v>3164</v>
      </c>
      <c r="D1153" t="s">
        <v>2780</v>
      </c>
      <c r="E1153" t="s">
        <v>2823</v>
      </c>
      <c r="F1153" t="str">
        <f>"391/504"</f>
        <v>391/504</v>
      </c>
      <c r="G1153" t="s">
        <v>3067</v>
      </c>
      <c r="H1153" t="s">
        <v>5657</v>
      </c>
      <c r="I1153">
        <v>27.66</v>
      </c>
    </row>
    <row r="1154" spans="1:9" ht="12.75">
      <c r="A1154">
        <v>1149</v>
      </c>
      <c r="B1154" t="s">
        <v>5658</v>
      </c>
      <c r="C1154" t="s">
        <v>2807</v>
      </c>
      <c r="D1154" t="s">
        <v>2780</v>
      </c>
      <c r="E1154" t="s">
        <v>2973</v>
      </c>
      <c r="F1154" t="str">
        <f>"86/167"</f>
        <v>86/167</v>
      </c>
      <c r="G1154" t="s">
        <v>76</v>
      </c>
      <c r="H1154" t="s">
        <v>5659</v>
      </c>
      <c r="I1154">
        <v>27.63</v>
      </c>
    </row>
    <row r="1155" spans="1:9" ht="12.75">
      <c r="A1155">
        <v>1150</v>
      </c>
      <c r="B1155" t="s">
        <v>3132</v>
      </c>
      <c r="C1155" t="s">
        <v>749</v>
      </c>
      <c r="D1155" t="s">
        <v>3031</v>
      </c>
      <c r="E1155" t="s">
        <v>3244</v>
      </c>
      <c r="F1155" t="str">
        <f>"20/63"</f>
        <v>20/63</v>
      </c>
      <c r="G1155" t="s">
        <v>2896</v>
      </c>
      <c r="H1155" t="s">
        <v>5660</v>
      </c>
      <c r="I1155">
        <v>27.6</v>
      </c>
    </row>
    <row r="1156" spans="1:9" ht="12.75">
      <c r="A1156">
        <v>1151</v>
      </c>
      <c r="B1156" t="s">
        <v>5661</v>
      </c>
      <c r="C1156" t="s">
        <v>3219</v>
      </c>
      <c r="D1156" t="s">
        <v>2780</v>
      </c>
      <c r="E1156" t="s">
        <v>2781</v>
      </c>
      <c r="F1156" t="str">
        <f>"271/329"</f>
        <v>271/329</v>
      </c>
      <c r="G1156" t="s">
        <v>2994</v>
      </c>
      <c r="H1156" t="s">
        <v>5662</v>
      </c>
      <c r="I1156">
        <v>27.58</v>
      </c>
    </row>
    <row r="1157" spans="1:9" ht="12.75">
      <c r="A1157">
        <v>1152</v>
      </c>
      <c r="B1157" t="s">
        <v>3575</v>
      </c>
      <c r="C1157" t="s">
        <v>2931</v>
      </c>
      <c r="D1157" t="s">
        <v>2780</v>
      </c>
      <c r="E1157" t="s">
        <v>2799</v>
      </c>
      <c r="F1157" t="str">
        <f>"81/99"</f>
        <v>81/99</v>
      </c>
      <c r="G1157" t="s">
        <v>2936</v>
      </c>
      <c r="H1157" t="s">
        <v>5663</v>
      </c>
      <c r="I1157">
        <v>27.56</v>
      </c>
    </row>
    <row r="1158" spans="1:9" ht="12.75">
      <c r="A1158">
        <v>1153</v>
      </c>
      <c r="B1158" t="s">
        <v>5664</v>
      </c>
      <c r="C1158" t="s">
        <v>891</v>
      </c>
      <c r="D1158" t="s">
        <v>2780</v>
      </c>
      <c r="E1158" t="s">
        <v>2818</v>
      </c>
      <c r="F1158" t="str">
        <f>"195/307"</f>
        <v>195/307</v>
      </c>
      <c r="G1158" t="s">
        <v>3422</v>
      </c>
      <c r="H1158" t="s">
        <v>5665</v>
      </c>
      <c r="I1158">
        <v>27.55</v>
      </c>
    </row>
    <row r="1159" spans="1:9" ht="12.75">
      <c r="A1159">
        <v>1154</v>
      </c>
      <c r="B1159" t="s">
        <v>5666</v>
      </c>
      <c r="C1159" t="s">
        <v>3455</v>
      </c>
      <c r="D1159" t="s">
        <v>3031</v>
      </c>
      <c r="E1159" t="s">
        <v>3032</v>
      </c>
      <c r="F1159" t="str">
        <f>"31/54"</f>
        <v>31/54</v>
      </c>
      <c r="G1159" t="s">
        <v>363</v>
      </c>
      <c r="H1159" t="s">
        <v>5667</v>
      </c>
      <c r="I1159">
        <v>27.54</v>
      </c>
    </row>
    <row r="1160" spans="1:9" ht="12.75">
      <c r="A1160">
        <v>1155</v>
      </c>
      <c r="B1160" t="s">
        <v>5668</v>
      </c>
      <c r="C1160" t="s">
        <v>3286</v>
      </c>
      <c r="D1160" t="s">
        <v>2780</v>
      </c>
      <c r="E1160" t="s">
        <v>2823</v>
      </c>
      <c r="F1160" t="str">
        <f>"392/504"</f>
        <v>392/504</v>
      </c>
      <c r="G1160" t="s">
        <v>363</v>
      </c>
      <c r="H1160" t="s">
        <v>5669</v>
      </c>
      <c r="I1160">
        <v>27.54</v>
      </c>
    </row>
    <row r="1161" spans="1:9" ht="12.75">
      <c r="A1161">
        <v>1156</v>
      </c>
      <c r="B1161" t="s">
        <v>5670</v>
      </c>
      <c r="C1161" t="s">
        <v>5671</v>
      </c>
      <c r="D1161" t="s">
        <v>3031</v>
      </c>
      <c r="E1161" t="s">
        <v>3032</v>
      </c>
      <c r="F1161" t="str">
        <f>"32/54"</f>
        <v>32/54</v>
      </c>
      <c r="G1161" t="s">
        <v>363</v>
      </c>
      <c r="H1161" t="s">
        <v>5672</v>
      </c>
      <c r="I1161">
        <v>27.53</v>
      </c>
    </row>
    <row r="1162" spans="1:9" ht="12.75">
      <c r="A1162">
        <v>1157</v>
      </c>
      <c r="B1162" t="s">
        <v>5673</v>
      </c>
      <c r="C1162" t="s">
        <v>2895</v>
      </c>
      <c r="D1162" t="s">
        <v>2780</v>
      </c>
      <c r="E1162" t="s">
        <v>2823</v>
      </c>
      <c r="F1162" t="str">
        <f>"393/504"</f>
        <v>393/504</v>
      </c>
      <c r="G1162" t="s">
        <v>3516</v>
      </c>
      <c r="H1162" t="s">
        <v>5674</v>
      </c>
      <c r="I1162">
        <v>27.52</v>
      </c>
    </row>
    <row r="1163" spans="1:9" ht="12.75">
      <c r="A1163">
        <v>1158</v>
      </c>
      <c r="B1163" t="s">
        <v>5675</v>
      </c>
      <c r="C1163" t="s">
        <v>2826</v>
      </c>
      <c r="D1163" t="s">
        <v>2780</v>
      </c>
      <c r="E1163" t="s">
        <v>2818</v>
      </c>
      <c r="F1163" t="str">
        <f>"196/307"</f>
        <v>196/307</v>
      </c>
      <c r="G1163" t="s">
        <v>3046</v>
      </c>
      <c r="H1163" t="s">
        <v>5676</v>
      </c>
      <c r="I1163">
        <v>27.52</v>
      </c>
    </row>
    <row r="1164" spans="1:9" ht="12.75">
      <c r="A1164">
        <v>1159</v>
      </c>
      <c r="B1164" t="s">
        <v>5677</v>
      </c>
      <c r="C1164" t="s">
        <v>4894</v>
      </c>
      <c r="D1164" t="s">
        <v>2780</v>
      </c>
      <c r="E1164" t="s">
        <v>2818</v>
      </c>
      <c r="F1164" t="str">
        <f>"197/307"</f>
        <v>197/307</v>
      </c>
      <c r="G1164" t="s">
        <v>864</v>
      </c>
      <c r="H1164" t="s">
        <v>5678</v>
      </c>
      <c r="I1164">
        <v>27.52</v>
      </c>
    </row>
    <row r="1165" spans="1:9" ht="12.75">
      <c r="A1165">
        <v>1160</v>
      </c>
      <c r="B1165" t="s">
        <v>5679</v>
      </c>
      <c r="C1165" t="s">
        <v>3464</v>
      </c>
      <c r="D1165" t="s">
        <v>2780</v>
      </c>
      <c r="E1165" t="s">
        <v>2823</v>
      </c>
      <c r="F1165" t="str">
        <f>"394/504"</f>
        <v>394/504</v>
      </c>
      <c r="G1165" t="s">
        <v>3516</v>
      </c>
      <c r="H1165" t="s">
        <v>5680</v>
      </c>
      <c r="I1165">
        <v>27.51</v>
      </c>
    </row>
    <row r="1166" spans="1:9" ht="12.75">
      <c r="A1166">
        <v>1161</v>
      </c>
      <c r="B1166" t="s">
        <v>5681</v>
      </c>
      <c r="C1166" t="s">
        <v>749</v>
      </c>
      <c r="D1166" t="s">
        <v>3031</v>
      </c>
      <c r="E1166" t="s">
        <v>3032</v>
      </c>
      <c r="F1166" t="str">
        <f>"33/54"</f>
        <v>33/54</v>
      </c>
      <c r="G1166" t="s">
        <v>5682</v>
      </c>
      <c r="H1166" t="s">
        <v>5683</v>
      </c>
      <c r="I1166">
        <v>27.51</v>
      </c>
    </row>
    <row r="1167" spans="1:9" ht="12.75">
      <c r="A1167">
        <v>1162</v>
      </c>
      <c r="B1167" t="s">
        <v>2965</v>
      </c>
      <c r="C1167" t="s">
        <v>2895</v>
      </c>
      <c r="D1167" t="s">
        <v>2780</v>
      </c>
      <c r="E1167" t="s">
        <v>3209</v>
      </c>
      <c r="F1167" t="str">
        <f>"20/62"</f>
        <v>20/62</v>
      </c>
      <c r="G1167" t="s">
        <v>647</v>
      </c>
      <c r="H1167" t="s">
        <v>5684</v>
      </c>
      <c r="I1167">
        <v>27.5</v>
      </c>
    </row>
    <row r="1168" spans="1:9" ht="12.75">
      <c r="A1168">
        <v>1163</v>
      </c>
      <c r="B1168" t="s">
        <v>5685</v>
      </c>
      <c r="C1168" t="s">
        <v>3108</v>
      </c>
      <c r="D1168" t="s">
        <v>2780</v>
      </c>
      <c r="E1168" t="s">
        <v>2973</v>
      </c>
      <c r="F1168" t="str">
        <f>"87/167"</f>
        <v>87/167</v>
      </c>
      <c r="G1168" t="s">
        <v>1139</v>
      </c>
      <c r="H1168" t="s">
        <v>5686</v>
      </c>
      <c r="I1168">
        <v>27.5</v>
      </c>
    </row>
    <row r="1169" spans="1:9" ht="12.75">
      <c r="A1169">
        <v>1164</v>
      </c>
      <c r="B1169" t="s">
        <v>5687</v>
      </c>
      <c r="C1169" t="s">
        <v>5688</v>
      </c>
      <c r="D1169" t="s">
        <v>2780</v>
      </c>
      <c r="E1169" t="s">
        <v>2823</v>
      </c>
      <c r="F1169" t="str">
        <f>"395/504"</f>
        <v>395/504</v>
      </c>
      <c r="G1169" t="s">
        <v>4946</v>
      </c>
      <c r="H1169" t="s">
        <v>5689</v>
      </c>
      <c r="I1169">
        <v>27.48</v>
      </c>
    </row>
    <row r="1170" spans="1:9" ht="12.75">
      <c r="A1170">
        <v>1165</v>
      </c>
      <c r="B1170" t="s">
        <v>5690</v>
      </c>
      <c r="C1170" t="s">
        <v>2951</v>
      </c>
      <c r="D1170" t="s">
        <v>2780</v>
      </c>
      <c r="E1170" t="s">
        <v>2818</v>
      </c>
      <c r="F1170" t="str">
        <f>"198/307"</f>
        <v>198/307</v>
      </c>
      <c r="G1170" t="s">
        <v>3206</v>
      </c>
      <c r="H1170" t="s">
        <v>5691</v>
      </c>
      <c r="I1170">
        <v>27.47</v>
      </c>
    </row>
    <row r="1171" spans="1:9" ht="12.75">
      <c r="A1171">
        <v>1166</v>
      </c>
      <c r="B1171" t="s">
        <v>5692</v>
      </c>
      <c r="C1171" t="s">
        <v>3147</v>
      </c>
      <c r="D1171" t="s">
        <v>2780</v>
      </c>
      <c r="E1171" t="s">
        <v>2823</v>
      </c>
      <c r="F1171" t="str">
        <f>"396/504"</f>
        <v>396/504</v>
      </c>
      <c r="G1171" t="s">
        <v>5693</v>
      </c>
      <c r="H1171" t="s">
        <v>5694</v>
      </c>
      <c r="I1171">
        <v>27.47</v>
      </c>
    </row>
    <row r="1172" spans="1:9" ht="12.75">
      <c r="A1172">
        <v>1167</v>
      </c>
      <c r="B1172" t="s">
        <v>5695</v>
      </c>
      <c r="C1172" t="s">
        <v>2857</v>
      </c>
      <c r="D1172" t="s">
        <v>2780</v>
      </c>
      <c r="E1172" t="s">
        <v>2823</v>
      </c>
      <c r="F1172" t="str">
        <f>"397/504"</f>
        <v>397/504</v>
      </c>
      <c r="G1172" t="s">
        <v>3277</v>
      </c>
      <c r="H1172" t="s">
        <v>5696</v>
      </c>
      <c r="I1172">
        <v>27.45</v>
      </c>
    </row>
    <row r="1173" spans="1:9" ht="12.75">
      <c r="A1173">
        <v>1168</v>
      </c>
      <c r="B1173" t="s">
        <v>3398</v>
      </c>
      <c r="C1173" t="s">
        <v>2857</v>
      </c>
      <c r="D1173" t="s">
        <v>2780</v>
      </c>
      <c r="E1173" t="s">
        <v>2818</v>
      </c>
      <c r="F1173" t="str">
        <f>"199/307"</f>
        <v>199/307</v>
      </c>
      <c r="H1173" t="s">
        <v>5697</v>
      </c>
      <c r="I1173">
        <v>27.45</v>
      </c>
    </row>
    <row r="1174" spans="1:9" ht="12.75">
      <c r="A1174">
        <v>1169</v>
      </c>
      <c r="B1174" t="s">
        <v>5698</v>
      </c>
      <c r="C1174" t="s">
        <v>3464</v>
      </c>
      <c r="D1174" t="s">
        <v>2780</v>
      </c>
      <c r="E1174" t="s">
        <v>2823</v>
      </c>
      <c r="F1174" t="str">
        <f>"398/504"</f>
        <v>398/504</v>
      </c>
      <c r="H1174" t="s">
        <v>5699</v>
      </c>
      <c r="I1174">
        <v>27.45</v>
      </c>
    </row>
    <row r="1175" spans="1:9" ht="12.75">
      <c r="A1175">
        <v>1170</v>
      </c>
      <c r="B1175" t="s">
        <v>5700</v>
      </c>
      <c r="C1175" t="s">
        <v>3108</v>
      </c>
      <c r="D1175" t="s">
        <v>2780</v>
      </c>
      <c r="E1175" t="s">
        <v>2973</v>
      </c>
      <c r="F1175" t="str">
        <f>"88/167"</f>
        <v>88/167</v>
      </c>
      <c r="G1175" t="s">
        <v>5701</v>
      </c>
      <c r="H1175" t="s">
        <v>5702</v>
      </c>
      <c r="I1175">
        <v>27.45</v>
      </c>
    </row>
    <row r="1176" spans="1:9" ht="12.75">
      <c r="A1176">
        <v>1171</v>
      </c>
      <c r="B1176" t="s">
        <v>5703</v>
      </c>
      <c r="C1176" t="s">
        <v>43</v>
      </c>
      <c r="D1176" t="s">
        <v>2780</v>
      </c>
      <c r="E1176" t="s">
        <v>2973</v>
      </c>
      <c r="F1176" t="str">
        <f>"89/167"</f>
        <v>89/167</v>
      </c>
      <c r="G1176" t="s">
        <v>5704</v>
      </c>
      <c r="H1176" t="s">
        <v>5705</v>
      </c>
      <c r="I1176">
        <v>27.45</v>
      </c>
    </row>
    <row r="1177" spans="1:9" ht="12.75">
      <c r="A1177">
        <v>1172</v>
      </c>
      <c r="B1177" t="s">
        <v>5706</v>
      </c>
      <c r="C1177" t="s">
        <v>5468</v>
      </c>
      <c r="D1177" t="s">
        <v>2780</v>
      </c>
      <c r="E1177" t="s">
        <v>2973</v>
      </c>
      <c r="F1177" t="str">
        <f>"90/167"</f>
        <v>90/167</v>
      </c>
      <c r="G1177" t="s">
        <v>5707</v>
      </c>
      <c r="H1177" t="s">
        <v>5708</v>
      </c>
      <c r="I1177">
        <v>27.45</v>
      </c>
    </row>
    <row r="1178" spans="1:9" ht="12.75">
      <c r="A1178">
        <v>1173</v>
      </c>
      <c r="B1178" t="s">
        <v>1179</v>
      </c>
      <c r="C1178" t="s">
        <v>3008</v>
      </c>
      <c r="D1178" t="s">
        <v>2780</v>
      </c>
      <c r="E1178" t="s">
        <v>2781</v>
      </c>
      <c r="F1178" t="str">
        <f>"272/329"</f>
        <v>272/329</v>
      </c>
      <c r="G1178" t="s">
        <v>2804</v>
      </c>
      <c r="H1178" t="s">
        <v>5709</v>
      </c>
      <c r="I1178">
        <v>27.44</v>
      </c>
    </row>
    <row r="1179" spans="1:9" ht="12.75">
      <c r="A1179">
        <v>1174</v>
      </c>
      <c r="B1179" t="s">
        <v>5710</v>
      </c>
      <c r="C1179" t="s">
        <v>5711</v>
      </c>
      <c r="D1179" t="s">
        <v>2780</v>
      </c>
      <c r="E1179" t="s">
        <v>2823</v>
      </c>
      <c r="F1179" t="str">
        <f>"399/504"</f>
        <v>399/504</v>
      </c>
      <c r="G1179" t="s">
        <v>225</v>
      </c>
      <c r="H1179" t="s">
        <v>5712</v>
      </c>
      <c r="I1179">
        <v>27.43</v>
      </c>
    </row>
    <row r="1180" spans="1:9" ht="12.75">
      <c r="A1180">
        <v>1175</v>
      </c>
      <c r="B1180" t="s">
        <v>5713</v>
      </c>
      <c r="C1180" t="s">
        <v>3560</v>
      </c>
      <c r="D1180" t="s">
        <v>2780</v>
      </c>
      <c r="E1180" t="s">
        <v>2823</v>
      </c>
      <c r="F1180" t="str">
        <f>"400/504"</f>
        <v>400/504</v>
      </c>
      <c r="G1180" t="s">
        <v>5714</v>
      </c>
      <c r="H1180" t="s">
        <v>5715</v>
      </c>
      <c r="I1180">
        <v>27.39</v>
      </c>
    </row>
    <row r="1181" spans="1:9" ht="12.75">
      <c r="A1181">
        <v>1176</v>
      </c>
      <c r="B1181" t="s">
        <v>3378</v>
      </c>
      <c r="C1181" t="s">
        <v>5716</v>
      </c>
      <c r="D1181" t="s">
        <v>2780</v>
      </c>
      <c r="E1181" t="s">
        <v>3209</v>
      </c>
      <c r="F1181" t="str">
        <f>"21/62"</f>
        <v>21/62</v>
      </c>
      <c r="G1181" t="s">
        <v>3088</v>
      </c>
      <c r="H1181" t="s">
        <v>5717</v>
      </c>
      <c r="I1181">
        <v>27.39</v>
      </c>
    </row>
    <row r="1182" spans="1:9" ht="12.75">
      <c r="A1182">
        <v>1177</v>
      </c>
      <c r="B1182" t="s">
        <v>5718</v>
      </c>
      <c r="C1182" t="s">
        <v>2942</v>
      </c>
      <c r="D1182" t="s">
        <v>2780</v>
      </c>
      <c r="E1182" t="s">
        <v>2823</v>
      </c>
      <c r="F1182" t="str">
        <f>"401/504"</f>
        <v>401/504</v>
      </c>
      <c r="G1182" t="s">
        <v>4946</v>
      </c>
      <c r="H1182" t="s">
        <v>5719</v>
      </c>
      <c r="I1182">
        <v>27.39</v>
      </c>
    </row>
    <row r="1183" spans="1:9" ht="12.75">
      <c r="A1183">
        <v>1178</v>
      </c>
      <c r="B1183" t="s">
        <v>5720</v>
      </c>
      <c r="C1183" t="s">
        <v>3102</v>
      </c>
      <c r="D1183" t="s">
        <v>2780</v>
      </c>
      <c r="E1183" t="s">
        <v>3209</v>
      </c>
      <c r="F1183" t="str">
        <f>"22/62"</f>
        <v>22/62</v>
      </c>
      <c r="G1183" t="s">
        <v>5721</v>
      </c>
      <c r="H1183" t="s">
        <v>5722</v>
      </c>
      <c r="I1183">
        <v>27.38</v>
      </c>
    </row>
    <row r="1184" spans="1:9" ht="12.75">
      <c r="A1184">
        <v>1179</v>
      </c>
      <c r="B1184" t="s">
        <v>224</v>
      </c>
      <c r="C1184" t="s">
        <v>3318</v>
      </c>
      <c r="D1184" t="s">
        <v>2780</v>
      </c>
      <c r="E1184" t="s">
        <v>2818</v>
      </c>
      <c r="F1184" t="str">
        <f>"200/307"</f>
        <v>200/307</v>
      </c>
      <c r="G1184" t="s">
        <v>225</v>
      </c>
      <c r="H1184" t="s">
        <v>5723</v>
      </c>
      <c r="I1184">
        <v>27.34</v>
      </c>
    </row>
    <row r="1185" spans="1:9" ht="12.75">
      <c r="A1185">
        <v>1180</v>
      </c>
      <c r="B1185" t="s">
        <v>5724</v>
      </c>
      <c r="C1185" t="s">
        <v>3147</v>
      </c>
      <c r="D1185" t="s">
        <v>2780</v>
      </c>
      <c r="E1185" t="s">
        <v>2818</v>
      </c>
      <c r="F1185" t="str">
        <f>"201/307"</f>
        <v>201/307</v>
      </c>
      <c r="G1185" t="s">
        <v>3673</v>
      </c>
      <c r="H1185" t="s">
        <v>5725</v>
      </c>
      <c r="I1185">
        <v>27.33</v>
      </c>
    </row>
    <row r="1186" spans="1:9" ht="12.75">
      <c r="A1186">
        <v>1181</v>
      </c>
      <c r="B1186" t="s">
        <v>5726</v>
      </c>
      <c r="C1186" t="s">
        <v>341</v>
      </c>
      <c r="D1186" t="s">
        <v>2780</v>
      </c>
      <c r="E1186" t="s">
        <v>2823</v>
      </c>
      <c r="F1186" t="str">
        <f>"402/504"</f>
        <v>402/504</v>
      </c>
      <c r="G1186" t="s">
        <v>3673</v>
      </c>
      <c r="H1186" t="s">
        <v>5727</v>
      </c>
      <c r="I1186">
        <v>27.32</v>
      </c>
    </row>
    <row r="1187" spans="1:9" ht="12.75">
      <c r="A1187">
        <v>1182</v>
      </c>
      <c r="B1187" t="s">
        <v>5728</v>
      </c>
      <c r="C1187" t="s">
        <v>2916</v>
      </c>
      <c r="D1187" t="s">
        <v>2780</v>
      </c>
      <c r="E1187" t="s">
        <v>2823</v>
      </c>
      <c r="F1187" t="str">
        <f>"403/504"</f>
        <v>403/504</v>
      </c>
      <c r="G1187" t="s">
        <v>3673</v>
      </c>
      <c r="H1187" t="s">
        <v>5729</v>
      </c>
      <c r="I1187">
        <v>27.32</v>
      </c>
    </row>
    <row r="1188" spans="1:9" ht="12.75">
      <c r="A1188">
        <v>1183</v>
      </c>
      <c r="B1188" t="s">
        <v>5730</v>
      </c>
      <c r="C1188" t="s">
        <v>5731</v>
      </c>
      <c r="D1188" t="s">
        <v>2780</v>
      </c>
      <c r="E1188" t="s">
        <v>2823</v>
      </c>
      <c r="F1188" t="str">
        <f>"404/504"</f>
        <v>404/504</v>
      </c>
      <c r="G1188" t="s">
        <v>5732</v>
      </c>
      <c r="H1188" t="s">
        <v>5733</v>
      </c>
      <c r="I1188">
        <v>27.32</v>
      </c>
    </row>
    <row r="1189" spans="1:9" ht="12.75">
      <c r="A1189">
        <v>1184</v>
      </c>
      <c r="B1189" t="s">
        <v>5734</v>
      </c>
      <c r="C1189" t="s">
        <v>256</v>
      </c>
      <c r="D1189" t="s">
        <v>2780</v>
      </c>
      <c r="E1189" t="s">
        <v>2823</v>
      </c>
      <c r="F1189" t="str">
        <f>"405/504"</f>
        <v>405/504</v>
      </c>
      <c r="G1189" t="s">
        <v>806</v>
      </c>
      <c r="H1189" t="s">
        <v>5735</v>
      </c>
      <c r="I1189">
        <v>27.31</v>
      </c>
    </row>
    <row r="1190" spans="1:9" ht="12.75">
      <c r="A1190">
        <v>1185</v>
      </c>
      <c r="B1190" t="s">
        <v>206</v>
      </c>
      <c r="C1190" t="s">
        <v>3542</v>
      </c>
      <c r="D1190" t="s">
        <v>2780</v>
      </c>
      <c r="E1190" t="s">
        <v>2973</v>
      </c>
      <c r="F1190" t="str">
        <f>"91/167"</f>
        <v>91/167</v>
      </c>
      <c r="G1190" t="s">
        <v>3046</v>
      </c>
      <c r="H1190" t="s">
        <v>5736</v>
      </c>
      <c r="I1190">
        <v>27.31</v>
      </c>
    </row>
    <row r="1191" spans="1:9" ht="12.75">
      <c r="A1191">
        <v>1186</v>
      </c>
      <c r="B1191" t="s">
        <v>5737</v>
      </c>
      <c r="C1191" t="s">
        <v>504</v>
      </c>
      <c r="D1191" t="s">
        <v>2780</v>
      </c>
      <c r="E1191" t="s">
        <v>2823</v>
      </c>
      <c r="F1191" t="str">
        <f>"406/504"</f>
        <v>406/504</v>
      </c>
      <c r="G1191" t="s">
        <v>806</v>
      </c>
      <c r="H1191" t="s">
        <v>5738</v>
      </c>
      <c r="I1191">
        <v>27.3</v>
      </c>
    </row>
    <row r="1192" spans="1:9" ht="12.75">
      <c r="A1192">
        <v>1187</v>
      </c>
      <c r="B1192" t="s">
        <v>5739</v>
      </c>
      <c r="C1192" t="s">
        <v>3438</v>
      </c>
      <c r="D1192" t="s">
        <v>2780</v>
      </c>
      <c r="E1192" t="s">
        <v>2799</v>
      </c>
      <c r="F1192" t="str">
        <f>"82/99"</f>
        <v>82/99</v>
      </c>
      <c r="G1192" t="s">
        <v>3206</v>
      </c>
      <c r="H1192" t="s">
        <v>5740</v>
      </c>
      <c r="I1192">
        <v>27.29</v>
      </c>
    </row>
    <row r="1193" spans="1:9" ht="12.75">
      <c r="A1193">
        <v>1188</v>
      </c>
      <c r="B1193" t="s">
        <v>5741</v>
      </c>
      <c r="C1193" t="s">
        <v>179</v>
      </c>
      <c r="D1193" t="s">
        <v>2780</v>
      </c>
      <c r="E1193" t="s">
        <v>2973</v>
      </c>
      <c r="F1193" t="str">
        <f>"92/167"</f>
        <v>92/167</v>
      </c>
      <c r="G1193" t="s">
        <v>3046</v>
      </c>
      <c r="H1193" t="s">
        <v>5742</v>
      </c>
      <c r="I1193">
        <v>27.27</v>
      </c>
    </row>
    <row r="1194" spans="1:9" ht="12.75">
      <c r="A1194">
        <v>1189</v>
      </c>
      <c r="B1194" t="s">
        <v>558</v>
      </c>
      <c r="C1194" t="s">
        <v>2830</v>
      </c>
      <c r="D1194" t="s">
        <v>2780</v>
      </c>
      <c r="E1194" t="s">
        <v>2786</v>
      </c>
      <c r="F1194" t="str">
        <f>"54/58"</f>
        <v>54/58</v>
      </c>
      <c r="G1194" t="s">
        <v>4888</v>
      </c>
      <c r="H1194" t="s">
        <v>5743</v>
      </c>
      <c r="I1194">
        <v>27.27</v>
      </c>
    </row>
    <row r="1195" spans="1:9" ht="12.75">
      <c r="A1195">
        <v>1190</v>
      </c>
      <c r="B1195" t="s">
        <v>5744</v>
      </c>
      <c r="C1195" t="s">
        <v>3174</v>
      </c>
      <c r="D1195" t="s">
        <v>2780</v>
      </c>
      <c r="E1195" t="s">
        <v>2781</v>
      </c>
      <c r="F1195" t="str">
        <f>"273/329"</f>
        <v>273/329</v>
      </c>
      <c r="G1195" t="s">
        <v>1139</v>
      </c>
      <c r="H1195" t="s">
        <v>5745</v>
      </c>
      <c r="I1195">
        <v>27.27</v>
      </c>
    </row>
    <row r="1196" spans="1:9" ht="12.75">
      <c r="A1196">
        <v>1191</v>
      </c>
      <c r="B1196" t="s">
        <v>5746</v>
      </c>
      <c r="C1196" t="s">
        <v>2840</v>
      </c>
      <c r="D1196" t="s">
        <v>2780</v>
      </c>
      <c r="E1196" t="s">
        <v>2823</v>
      </c>
      <c r="F1196" t="str">
        <f>"407/504"</f>
        <v>407/504</v>
      </c>
      <c r="G1196" t="s">
        <v>1139</v>
      </c>
      <c r="H1196" t="s">
        <v>5747</v>
      </c>
      <c r="I1196">
        <v>27.26</v>
      </c>
    </row>
    <row r="1197" spans="1:9" ht="12.75">
      <c r="A1197">
        <v>1192</v>
      </c>
      <c r="B1197" t="s">
        <v>5748</v>
      </c>
      <c r="C1197" t="s">
        <v>3576</v>
      </c>
      <c r="D1197" t="s">
        <v>2780</v>
      </c>
      <c r="E1197" t="s">
        <v>2973</v>
      </c>
      <c r="F1197" t="str">
        <f>"93/167"</f>
        <v>93/167</v>
      </c>
      <c r="G1197" t="s">
        <v>3315</v>
      </c>
      <c r="H1197" t="s">
        <v>5749</v>
      </c>
      <c r="I1197">
        <v>27.26</v>
      </c>
    </row>
    <row r="1198" spans="1:9" ht="12.75">
      <c r="A1198">
        <v>1193</v>
      </c>
      <c r="B1198" t="s">
        <v>850</v>
      </c>
      <c r="C1198" t="s">
        <v>3346</v>
      </c>
      <c r="D1198" t="s">
        <v>2780</v>
      </c>
      <c r="E1198" t="s">
        <v>2781</v>
      </c>
      <c r="F1198" t="str">
        <f>"274/329"</f>
        <v>274/329</v>
      </c>
      <c r="G1198" t="s">
        <v>5417</v>
      </c>
      <c r="H1198" t="s">
        <v>5750</v>
      </c>
      <c r="I1198">
        <v>27.26</v>
      </c>
    </row>
    <row r="1199" spans="1:9" ht="12.75">
      <c r="A1199">
        <v>1194</v>
      </c>
      <c r="B1199" t="s">
        <v>778</v>
      </c>
      <c r="C1199" t="s">
        <v>2865</v>
      </c>
      <c r="D1199" t="s">
        <v>2780</v>
      </c>
      <c r="E1199" t="s">
        <v>2818</v>
      </c>
      <c r="F1199" t="str">
        <f>"202/307"</f>
        <v>202/307</v>
      </c>
      <c r="G1199" t="s">
        <v>0</v>
      </c>
      <c r="H1199" t="s">
        <v>5751</v>
      </c>
      <c r="I1199">
        <v>27.25</v>
      </c>
    </row>
    <row r="1200" spans="1:9" ht="12.75">
      <c r="A1200">
        <v>1195</v>
      </c>
      <c r="B1200" t="s">
        <v>5752</v>
      </c>
      <c r="C1200" t="s">
        <v>43</v>
      </c>
      <c r="D1200" t="s">
        <v>2780</v>
      </c>
      <c r="E1200" t="s">
        <v>2818</v>
      </c>
      <c r="F1200" t="str">
        <f>"203/307"</f>
        <v>203/307</v>
      </c>
      <c r="G1200" t="s">
        <v>5049</v>
      </c>
      <c r="H1200" t="s">
        <v>5753</v>
      </c>
      <c r="I1200">
        <v>27.23</v>
      </c>
    </row>
    <row r="1201" spans="1:9" ht="12.75">
      <c r="A1201">
        <v>1196</v>
      </c>
      <c r="B1201" t="s">
        <v>5754</v>
      </c>
      <c r="C1201" t="s">
        <v>3057</v>
      </c>
      <c r="D1201" t="s">
        <v>2780</v>
      </c>
      <c r="E1201" t="s">
        <v>2818</v>
      </c>
      <c r="F1201" t="str">
        <f>"204/307"</f>
        <v>204/307</v>
      </c>
      <c r="G1201" t="s">
        <v>881</v>
      </c>
      <c r="H1201" t="s">
        <v>5755</v>
      </c>
      <c r="I1201">
        <v>27.23</v>
      </c>
    </row>
    <row r="1202" spans="1:9" ht="12.75">
      <c r="A1202">
        <v>1197</v>
      </c>
      <c r="B1202" t="s">
        <v>5756</v>
      </c>
      <c r="C1202" t="s">
        <v>3475</v>
      </c>
      <c r="D1202" t="s">
        <v>2780</v>
      </c>
      <c r="E1202" t="s">
        <v>2818</v>
      </c>
      <c r="F1202" t="str">
        <f>"205/307"</f>
        <v>205/307</v>
      </c>
      <c r="G1202" t="s">
        <v>377</v>
      </c>
      <c r="H1202" t="s">
        <v>5757</v>
      </c>
      <c r="I1202">
        <v>27.22</v>
      </c>
    </row>
    <row r="1203" spans="1:9" ht="12.75">
      <c r="A1203">
        <v>1198</v>
      </c>
      <c r="B1203" t="s">
        <v>5758</v>
      </c>
      <c r="C1203" t="s">
        <v>5759</v>
      </c>
      <c r="D1203" t="s">
        <v>2780</v>
      </c>
      <c r="E1203" t="s">
        <v>2818</v>
      </c>
      <c r="F1203" t="str">
        <f>"206/307"</f>
        <v>206/307</v>
      </c>
      <c r="G1203" t="s">
        <v>3261</v>
      </c>
      <c r="H1203" t="s">
        <v>5760</v>
      </c>
      <c r="I1203">
        <v>27.21</v>
      </c>
    </row>
    <row r="1204" spans="1:9" ht="12.75">
      <c r="A1204">
        <v>1199</v>
      </c>
      <c r="B1204" t="s">
        <v>5761</v>
      </c>
      <c r="C1204" t="s">
        <v>700</v>
      </c>
      <c r="D1204" t="s">
        <v>2780</v>
      </c>
      <c r="E1204" t="s">
        <v>2973</v>
      </c>
      <c r="F1204" t="str">
        <f>"94/167"</f>
        <v>94/167</v>
      </c>
      <c r="G1204" t="s">
        <v>5762</v>
      </c>
      <c r="H1204" t="s">
        <v>5763</v>
      </c>
      <c r="I1204">
        <v>27.21</v>
      </c>
    </row>
    <row r="1205" spans="1:9" ht="12.75">
      <c r="A1205">
        <v>1200</v>
      </c>
      <c r="B1205" t="s">
        <v>5764</v>
      </c>
      <c r="C1205" t="s">
        <v>3201</v>
      </c>
      <c r="D1205" t="s">
        <v>2780</v>
      </c>
      <c r="E1205" t="s">
        <v>2781</v>
      </c>
      <c r="F1205" t="str">
        <f>"275/329"</f>
        <v>275/329</v>
      </c>
      <c r="G1205" t="s">
        <v>5419</v>
      </c>
      <c r="H1205" t="s">
        <v>5765</v>
      </c>
      <c r="I1205">
        <v>27.2</v>
      </c>
    </row>
    <row r="1206" spans="1:9" ht="12.75">
      <c r="A1206">
        <v>1201</v>
      </c>
      <c r="B1206" t="s">
        <v>5766</v>
      </c>
      <c r="C1206" t="s">
        <v>2826</v>
      </c>
      <c r="D1206" t="s">
        <v>2780</v>
      </c>
      <c r="E1206" t="s">
        <v>2818</v>
      </c>
      <c r="F1206" t="str">
        <f>"207/307"</f>
        <v>207/307</v>
      </c>
      <c r="G1206" t="s">
        <v>3673</v>
      </c>
      <c r="H1206" t="s">
        <v>5767</v>
      </c>
      <c r="I1206">
        <v>27.2</v>
      </c>
    </row>
    <row r="1207" spans="1:9" ht="12.75">
      <c r="A1207">
        <v>1202</v>
      </c>
      <c r="B1207" t="s">
        <v>5768</v>
      </c>
      <c r="C1207" t="s">
        <v>2814</v>
      </c>
      <c r="D1207" t="s">
        <v>2780</v>
      </c>
      <c r="E1207" t="s">
        <v>2786</v>
      </c>
      <c r="F1207" t="str">
        <f>"55/58"</f>
        <v>55/58</v>
      </c>
      <c r="G1207" t="s">
        <v>5769</v>
      </c>
      <c r="H1207" t="s">
        <v>5770</v>
      </c>
      <c r="I1207">
        <v>27.2</v>
      </c>
    </row>
    <row r="1208" spans="1:9" ht="12.75">
      <c r="A1208">
        <v>1203</v>
      </c>
      <c r="B1208" t="s">
        <v>5771</v>
      </c>
      <c r="C1208" t="s">
        <v>3141</v>
      </c>
      <c r="D1208" t="s">
        <v>2780</v>
      </c>
      <c r="E1208" t="s">
        <v>2973</v>
      </c>
      <c r="F1208" t="str">
        <f>"95/167"</f>
        <v>95/167</v>
      </c>
      <c r="G1208" t="s">
        <v>3476</v>
      </c>
      <c r="H1208" t="s">
        <v>5772</v>
      </c>
      <c r="I1208">
        <v>27.19</v>
      </c>
    </row>
    <row r="1209" spans="1:9" ht="12.75">
      <c r="A1209">
        <v>1204</v>
      </c>
      <c r="B1209" t="s">
        <v>5773</v>
      </c>
      <c r="C1209" t="s">
        <v>2876</v>
      </c>
      <c r="D1209" t="s">
        <v>2780</v>
      </c>
      <c r="E1209" t="s">
        <v>3209</v>
      </c>
      <c r="F1209" t="str">
        <f>"23/62"</f>
        <v>23/62</v>
      </c>
      <c r="G1209" t="s">
        <v>5774</v>
      </c>
      <c r="H1209" t="s">
        <v>1558</v>
      </c>
      <c r="I1209">
        <v>27.19</v>
      </c>
    </row>
    <row r="1210" spans="1:9" ht="12.75">
      <c r="A1210">
        <v>1205</v>
      </c>
      <c r="B1210" t="s">
        <v>3299</v>
      </c>
      <c r="C1210" t="s">
        <v>3387</v>
      </c>
      <c r="D1210" t="s">
        <v>2780</v>
      </c>
      <c r="E1210" t="s">
        <v>3209</v>
      </c>
      <c r="F1210" t="str">
        <f>"24/62"</f>
        <v>24/62</v>
      </c>
      <c r="G1210" t="s">
        <v>2889</v>
      </c>
      <c r="H1210" t="s">
        <v>1559</v>
      </c>
      <c r="I1210">
        <v>27.19</v>
      </c>
    </row>
    <row r="1211" spans="1:9" ht="12.75">
      <c r="A1211">
        <v>1206</v>
      </c>
      <c r="B1211" t="s">
        <v>1560</v>
      </c>
      <c r="C1211" t="s">
        <v>109</v>
      </c>
      <c r="D1211" t="s">
        <v>2780</v>
      </c>
      <c r="E1211" t="s">
        <v>2973</v>
      </c>
      <c r="F1211" t="str">
        <f>"96/167"</f>
        <v>96/167</v>
      </c>
      <c r="G1211" t="s">
        <v>1561</v>
      </c>
      <c r="H1211" t="s">
        <v>1562</v>
      </c>
      <c r="I1211">
        <v>27.18</v>
      </c>
    </row>
    <row r="1212" spans="1:9" ht="12.75">
      <c r="A1212">
        <v>1207</v>
      </c>
      <c r="B1212" t="s">
        <v>1563</v>
      </c>
      <c r="C1212" t="s">
        <v>1564</v>
      </c>
      <c r="D1212" t="s">
        <v>3031</v>
      </c>
      <c r="E1212" t="s">
        <v>3244</v>
      </c>
      <c r="F1212" t="str">
        <f>"21/63"</f>
        <v>21/63</v>
      </c>
      <c r="G1212" t="s">
        <v>0</v>
      </c>
      <c r="H1212" t="s">
        <v>1565</v>
      </c>
      <c r="I1212">
        <v>27.17</v>
      </c>
    </row>
    <row r="1213" spans="1:9" ht="12.75">
      <c r="A1213">
        <v>1208</v>
      </c>
      <c r="B1213" t="s">
        <v>1566</v>
      </c>
      <c r="C1213" t="s">
        <v>2826</v>
      </c>
      <c r="D1213" t="s">
        <v>2780</v>
      </c>
      <c r="E1213" t="s">
        <v>2818</v>
      </c>
      <c r="F1213" t="str">
        <f>"208/307"</f>
        <v>208/307</v>
      </c>
      <c r="G1213" t="s">
        <v>1567</v>
      </c>
      <c r="H1213" t="s">
        <v>1568</v>
      </c>
      <c r="I1213">
        <v>27.16</v>
      </c>
    </row>
    <row r="1214" spans="1:9" ht="12.75">
      <c r="A1214">
        <v>1209</v>
      </c>
      <c r="B1214" t="s">
        <v>1569</v>
      </c>
      <c r="C1214" t="s">
        <v>3192</v>
      </c>
      <c r="D1214" t="s">
        <v>2780</v>
      </c>
      <c r="E1214" t="s">
        <v>2823</v>
      </c>
      <c r="F1214" t="str">
        <f>"408/504"</f>
        <v>408/504</v>
      </c>
      <c r="G1214" t="s">
        <v>1570</v>
      </c>
      <c r="H1214" t="s">
        <v>1571</v>
      </c>
      <c r="I1214">
        <v>27.16</v>
      </c>
    </row>
    <row r="1215" spans="1:9" ht="12.75">
      <c r="A1215">
        <v>1210</v>
      </c>
      <c r="B1215" t="s">
        <v>1572</v>
      </c>
      <c r="C1215" t="s">
        <v>1573</v>
      </c>
      <c r="D1215" t="s">
        <v>3031</v>
      </c>
      <c r="E1215" t="s">
        <v>3244</v>
      </c>
      <c r="F1215" t="str">
        <f>"22/63"</f>
        <v>22/63</v>
      </c>
      <c r="G1215" t="s">
        <v>1574</v>
      </c>
      <c r="H1215" t="s">
        <v>1575</v>
      </c>
      <c r="I1215">
        <v>27.14</v>
      </c>
    </row>
    <row r="1216" spans="1:9" ht="12.75">
      <c r="A1216">
        <v>1211</v>
      </c>
      <c r="B1216" t="s">
        <v>1576</v>
      </c>
      <c r="C1216" t="s">
        <v>1577</v>
      </c>
      <c r="D1216" t="s">
        <v>2780</v>
      </c>
      <c r="E1216" t="s">
        <v>2823</v>
      </c>
      <c r="F1216" t="str">
        <f>"409/504"</f>
        <v>409/504</v>
      </c>
      <c r="G1216" t="s">
        <v>3252</v>
      </c>
      <c r="H1216" t="s">
        <v>1578</v>
      </c>
      <c r="I1216">
        <v>27.13</v>
      </c>
    </row>
    <row r="1217" spans="1:9" ht="12.75">
      <c r="A1217">
        <v>1212</v>
      </c>
      <c r="B1217" t="s">
        <v>932</v>
      </c>
      <c r="C1217" t="s">
        <v>3114</v>
      </c>
      <c r="D1217" t="s">
        <v>2780</v>
      </c>
      <c r="E1217" t="s">
        <v>2799</v>
      </c>
      <c r="F1217" t="str">
        <f>"83/99"</f>
        <v>83/99</v>
      </c>
      <c r="G1217" t="s">
        <v>175</v>
      </c>
      <c r="H1217" t="s">
        <v>1579</v>
      </c>
      <c r="I1217">
        <v>27.13</v>
      </c>
    </row>
    <row r="1218" spans="1:9" ht="12.75">
      <c r="A1218">
        <v>1213</v>
      </c>
      <c r="B1218" t="s">
        <v>1580</v>
      </c>
      <c r="C1218" t="s">
        <v>2861</v>
      </c>
      <c r="D1218" t="s">
        <v>2780</v>
      </c>
      <c r="E1218" t="s">
        <v>2823</v>
      </c>
      <c r="F1218" t="str">
        <f>"410/504"</f>
        <v>410/504</v>
      </c>
      <c r="G1218" t="s">
        <v>100</v>
      </c>
      <c r="H1218" t="s">
        <v>1581</v>
      </c>
      <c r="I1218">
        <v>27.12</v>
      </c>
    </row>
    <row r="1219" spans="1:9" ht="12.75">
      <c r="A1219">
        <v>1214</v>
      </c>
      <c r="B1219" t="s">
        <v>170</v>
      </c>
      <c r="C1219" t="s">
        <v>3164</v>
      </c>
      <c r="D1219" t="s">
        <v>2780</v>
      </c>
      <c r="E1219" t="s">
        <v>2823</v>
      </c>
      <c r="F1219" t="str">
        <f>"411/504"</f>
        <v>411/504</v>
      </c>
      <c r="G1219" t="s">
        <v>5214</v>
      </c>
      <c r="H1219" t="s">
        <v>1582</v>
      </c>
      <c r="I1219">
        <v>27.12</v>
      </c>
    </row>
    <row r="1220" spans="1:9" ht="12.75">
      <c r="A1220">
        <v>1215</v>
      </c>
      <c r="B1220" t="s">
        <v>5128</v>
      </c>
      <c r="C1220" t="s">
        <v>1583</v>
      </c>
      <c r="D1220" t="s">
        <v>3031</v>
      </c>
      <c r="E1220" t="s">
        <v>3244</v>
      </c>
      <c r="F1220" t="str">
        <f>"23/63"</f>
        <v>23/63</v>
      </c>
      <c r="G1220" t="s">
        <v>3067</v>
      </c>
      <c r="H1220" t="s">
        <v>1584</v>
      </c>
      <c r="I1220">
        <v>27.11</v>
      </c>
    </row>
    <row r="1221" spans="1:9" ht="12.75">
      <c r="A1221">
        <v>1216</v>
      </c>
      <c r="B1221" t="s">
        <v>5278</v>
      </c>
      <c r="C1221" t="s">
        <v>2807</v>
      </c>
      <c r="D1221" t="s">
        <v>2780</v>
      </c>
      <c r="E1221" t="s">
        <v>2823</v>
      </c>
      <c r="F1221" t="str">
        <f>"412/504"</f>
        <v>412/504</v>
      </c>
      <c r="G1221" t="s">
        <v>3252</v>
      </c>
      <c r="H1221" t="s">
        <v>1585</v>
      </c>
      <c r="I1221">
        <v>27.11</v>
      </c>
    </row>
    <row r="1222" spans="1:9" ht="12.75">
      <c r="A1222">
        <v>1217</v>
      </c>
      <c r="B1222" t="s">
        <v>1586</v>
      </c>
      <c r="C1222" t="s">
        <v>2830</v>
      </c>
      <c r="D1222" t="s">
        <v>2780</v>
      </c>
      <c r="E1222" t="s">
        <v>2973</v>
      </c>
      <c r="F1222" t="str">
        <f>"97/167"</f>
        <v>97/167</v>
      </c>
      <c r="G1222" t="s">
        <v>908</v>
      </c>
      <c r="H1222" t="s">
        <v>1587</v>
      </c>
      <c r="I1222">
        <v>27.09</v>
      </c>
    </row>
    <row r="1223" spans="1:9" ht="12.75">
      <c r="A1223">
        <v>1218</v>
      </c>
      <c r="B1223" t="s">
        <v>1588</v>
      </c>
      <c r="C1223" t="s">
        <v>2861</v>
      </c>
      <c r="D1223" t="s">
        <v>2780</v>
      </c>
      <c r="E1223" t="s">
        <v>2823</v>
      </c>
      <c r="F1223" t="str">
        <f>"413/504"</f>
        <v>413/504</v>
      </c>
      <c r="G1223" t="s">
        <v>795</v>
      </c>
      <c r="H1223" t="s">
        <v>1589</v>
      </c>
      <c r="I1223">
        <v>27.06</v>
      </c>
    </row>
    <row r="1224" spans="1:9" ht="12.75">
      <c r="A1224">
        <v>1219</v>
      </c>
      <c r="B1224" t="s">
        <v>1590</v>
      </c>
      <c r="C1224" t="s">
        <v>2966</v>
      </c>
      <c r="D1224" t="s">
        <v>2780</v>
      </c>
      <c r="E1224" t="s">
        <v>2823</v>
      </c>
      <c r="F1224" t="str">
        <f>"414/504"</f>
        <v>414/504</v>
      </c>
      <c r="G1224" t="s">
        <v>5241</v>
      </c>
      <c r="H1224" t="s">
        <v>1591</v>
      </c>
      <c r="I1224">
        <v>27.06</v>
      </c>
    </row>
    <row r="1225" spans="1:9" ht="12.75">
      <c r="A1225">
        <v>1220</v>
      </c>
      <c r="B1225" t="s">
        <v>1592</v>
      </c>
      <c r="C1225" t="s">
        <v>265</v>
      </c>
      <c r="D1225" t="s">
        <v>2780</v>
      </c>
      <c r="E1225" t="s">
        <v>2973</v>
      </c>
      <c r="F1225" t="str">
        <f>"98/167"</f>
        <v>98/167</v>
      </c>
      <c r="G1225" t="s">
        <v>5241</v>
      </c>
      <c r="H1225" t="s">
        <v>1593</v>
      </c>
      <c r="I1225">
        <v>27.05</v>
      </c>
    </row>
    <row r="1226" spans="1:9" ht="12.75">
      <c r="A1226">
        <v>1221</v>
      </c>
      <c r="B1226" t="s">
        <v>1594</v>
      </c>
      <c r="C1226" t="s">
        <v>3017</v>
      </c>
      <c r="D1226" t="s">
        <v>2780</v>
      </c>
      <c r="E1226" t="s">
        <v>2781</v>
      </c>
      <c r="F1226" t="str">
        <f>"276/329"</f>
        <v>276/329</v>
      </c>
      <c r="G1226" t="s">
        <v>925</v>
      </c>
      <c r="H1226" t="s">
        <v>1595</v>
      </c>
      <c r="I1226">
        <v>27.05</v>
      </c>
    </row>
    <row r="1227" spans="1:9" ht="12.75">
      <c r="A1227">
        <v>1222</v>
      </c>
      <c r="B1227" t="s">
        <v>283</v>
      </c>
      <c r="C1227" t="s">
        <v>3123</v>
      </c>
      <c r="D1227" t="s">
        <v>2780</v>
      </c>
      <c r="E1227" t="s">
        <v>2781</v>
      </c>
      <c r="F1227" t="str">
        <f>"277/329"</f>
        <v>277/329</v>
      </c>
      <c r="G1227" t="s">
        <v>3492</v>
      </c>
      <c r="H1227" t="s">
        <v>1596</v>
      </c>
      <c r="I1227">
        <v>27.05</v>
      </c>
    </row>
    <row r="1228" spans="1:9" ht="12.75">
      <c r="A1228">
        <v>1223</v>
      </c>
      <c r="B1228" t="s">
        <v>221</v>
      </c>
      <c r="C1228" t="s">
        <v>3030</v>
      </c>
      <c r="D1228" t="s">
        <v>3031</v>
      </c>
      <c r="E1228" t="s">
        <v>3032</v>
      </c>
      <c r="F1228" t="str">
        <f>"34/54"</f>
        <v>34/54</v>
      </c>
      <c r="G1228" t="s">
        <v>2994</v>
      </c>
      <c r="H1228" t="s">
        <v>1597</v>
      </c>
      <c r="I1228">
        <v>27.03</v>
      </c>
    </row>
    <row r="1229" spans="1:9" ht="12.75">
      <c r="A1229">
        <v>1224</v>
      </c>
      <c r="B1229" t="s">
        <v>1598</v>
      </c>
      <c r="C1229" t="s">
        <v>1599</v>
      </c>
      <c r="D1229" t="s">
        <v>2780</v>
      </c>
      <c r="E1229" t="s">
        <v>3209</v>
      </c>
      <c r="F1229" t="str">
        <f>"25/62"</f>
        <v>25/62</v>
      </c>
      <c r="G1229" t="s">
        <v>1600</v>
      </c>
      <c r="H1229" t="s">
        <v>1601</v>
      </c>
      <c r="I1229">
        <v>27.03</v>
      </c>
    </row>
    <row r="1230" spans="1:9" ht="12.75">
      <c r="A1230">
        <v>1225</v>
      </c>
      <c r="B1230" t="s">
        <v>1602</v>
      </c>
      <c r="C1230" t="s">
        <v>3239</v>
      </c>
      <c r="D1230" t="s">
        <v>3031</v>
      </c>
      <c r="E1230" t="s">
        <v>3244</v>
      </c>
      <c r="F1230" t="str">
        <f>"24/63"</f>
        <v>24/63</v>
      </c>
      <c r="G1230" t="s">
        <v>2994</v>
      </c>
      <c r="H1230" t="s">
        <v>1603</v>
      </c>
      <c r="I1230">
        <v>27.03</v>
      </c>
    </row>
    <row r="1231" spans="1:9" ht="12.75">
      <c r="A1231">
        <v>1226</v>
      </c>
      <c r="B1231" t="s">
        <v>997</v>
      </c>
      <c r="C1231" t="s">
        <v>1604</v>
      </c>
      <c r="D1231" t="s">
        <v>2780</v>
      </c>
      <c r="E1231" t="s">
        <v>2973</v>
      </c>
      <c r="F1231" t="str">
        <f>"99/167"</f>
        <v>99/167</v>
      </c>
      <c r="G1231" t="s">
        <v>2994</v>
      </c>
      <c r="H1231" t="s">
        <v>1605</v>
      </c>
      <c r="I1231">
        <v>27.03</v>
      </c>
    </row>
    <row r="1232" spans="1:9" ht="12.75">
      <c r="A1232">
        <v>1227</v>
      </c>
      <c r="B1232" t="s">
        <v>1606</v>
      </c>
      <c r="C1232" t="s">
        <v>1607</v>
      </c>
      <c r="D1232" t="s">
        <v>3031</v>
      </c>
      <c r="E1232" t="s">
        <v>3032</v>
      </c>
      <c r="F1232" t="str">
        <f>"35/54"</f>
        <v>35/54</v>
      </c>
      <c r="G1232" t="s">
        <v>1608</v>
      </c>
      <c r="H1232" t="s">
        <v>1609</v>
      </c>
      <c r="I1232">
        <v>27.02</v>
      </c>
    </row>
    <row r="1233" spans="1:9" ht="12.75">
      <c r="A1233">
        <v>1228</v>
      </c>
      <c r="B1233" t="s">
        <v>1610</v>
      </c>
      <c r="C1233" t="s">
        <v>1611</v>
      </c>
      <c r="D1233" t="s">
        <v>3031</v>
      </c>
      <c r="E1233" t="s">
        <v>3032</v>
      </c>
      <c r="F1233" t="str">
        <f>"36/54"</f>
        <v>36/54</v>
      </c>
      <c r="G1233" t="s">
        <v>2994</v>
      </c>
      <c r="H1233" t="s">
        <v>1612</v>
      </c>
      <c r="I1233">
        <v>27.02</v>
      </c>
    </row>
    <row r="1234" spans="1:9" ht="12.75">
      <c r="A1234">
        <v>1229</v>
      </c>
      <c r="B1234" t="s">
        <v>3378</v>
      </c>
      <c r="C1234" t="s">
        <v>4943</v>
      </c>
      <c r="D1234" t="s">
        <v>2780</v>
      </c>
      <c r="E1234" t="s">
        <v>2823</v>
      </c>
      <c r="F1234" t="str">
        <f>"415/504"</f>
        <v>415/504</v>
      </c>
      <c r="G1234" t="s">
        <v>2994</v>
      </c>
      <c r="H1234" t="s">
        <v>1613</v>
      </c>
      <c r="I1234">
        <v>27.02</v>
      </c>
    </row>
    <row r="1235" spans="1:9" ht="12.75">
      <c r="A1235">
        <v>1230</v>
      </c>
      <c r="B1235" t="s">
        <v>1137</v>
      </c>
      <c r="C1235" t="s">
        <v>3421</v>
      </c>
      <c r="D1235" t="s">
        <v>2780</v>
      </c>
      <c r="E1235" t="s">
        <v>2823</v>
      </c>
      <c r="F1235" t="str">
        <f>"416/504"</f>
        <v>416/504</v>
      </c>
      <c r="G1235" t="s">
        <v>1608</v>
      </c>
      <c r="H1235" t="s">
        <v>1614</v>
      </c>
      <c r="I1235">
        <v>27.01</v>
      </c>
    </row>
    <row r="1236" spans="1:9" ht="12.75">
      <c r="A1236">
        <v>1231</v>
      </c>
      <c r="B1236" t="s">
        <v>3635</v>
      </c>
      <c r="C1236" t="s">
        <v>2830</v>
      </c>
      <c r="D1236" t="s">
        <v>2780</v>
      </c>
      <c r="E1236" t="s">
        <v>2818</v>
      </c>
      <c r="F1236" t="str">
        <f>"209/307"</f>
        <v>209/307</v>
      </c>
      <c r="G1236" t="s">
        <v>2994</v>
      </c>
      <c r="H1236" t="s">
        <v>1615</v>
      </c>
      <c r="I1236">
        <v>27.01</v>
      </c>
    </row>
    <row r="1237" spans="1:9" ht="12.75">
      <c r="A1237">
        <v>1232</v>
      </c>
      <c r="B1237" t="s">
        <v>1616</v>
      </c>
      <c r="C1237" t="s">
        <v>1617</v>
      </c>
      <c r="D1237" t="s">
        <v>2780</v>
      </c>
      <c r="E1237" t="s">
        <v>2973</v>
      </c>
      <c r="F1237" t="str">
        <f>"100/167"</f>
        <v>100/167</v>
      </c>
      <c r="G1237" t="s">
        <v>1618</v>
      </c>
      <c r="H1237" t="s">
        <v>1619</v>
      </c>
      <c r="I1237">
        <v>27.01</v>
      </c>
    </row>
    <row r="1238" spans="1:9" ht="12.75">
      <c r="A1238">
        <v>1233</v>
      </c>
      <c r="B1238" t="s">
        <v>1620</v>
      </c>
      <c r="C1238" t="s">
        <v>3471</v>
      </c>
      <c r="D1238" t="s">
        <v>2780</v>
      </c>
      <c r="E1238" t="s">
        <v>2823</v>
      </c>
      <c r="F1238" t="str">
        <f>"417/504"</f>
        <v>417/504</v>
      </c>
      <c r="G1238" t="s">
        <v>2920</v>
      </c>
      <c r="H1238" t="s">
        <v>1621</v>
      </c>
      <c r="I1238">
        <v>27.01</v>
      </c>
    </row>
    <row r="1239" spans="1:9" ht="12.75">
      <c r="A1239">
        <v>1234</v>
      </c>
      <c r="B1239" t="s">
        <v>5399</v>
      </c>
      <c r="C1239" t="s">
        <v>5653</v>
      </c>
      <c r="D1239" t="s">
        <v>2780</v>
      </c>
      <c r="E1239" t="s">
        <v>2818</v>
      </c>
      <c r="F1239" t="str">
        <f>"210/307"</f>
        <v>210/307</v>
      </c>
      <c r="G1239" t="s">
        <v>4929</v>
      </c>
      <c r="H1239" t="s">
        <v>1622</v>
      </c>
      <c r="I1239">
        <v>27</v>
      </c>
    </row>
    <row r="1240" spans="1:9" ht="12.75">
      <c r="A1240">
        <v>1235</v>
      </c>
      <c r="B1240" t="s">
        <v>5706</v>
      </c>
      <c r="C1240" t="s">
        <v>1623</v>
      </c>
      <c r="D1240" t="s">
        <v>2780</v>
      </c>
      <c r="E1240" t="s">
        <v>2973</v>
      </c>
      <c r="F1240" t="str">
        <f>"101/167"</f>
        <v>101/167</v>
      </c>
      <c r="G1240" t="s">
        <v>1624</v>
      </c>
      <c r="H1240" t="s">
        <v>1622</v>
      </c>
      <c r="I1240">
        <v>27</v>
      </c>
    </row>
    <row r="1241" spans="1:9" ht="12.75">
      <c r="A1241">
        <v>1236</v>
      </c>
      <c r="B1241" t="s">
        <v>1625</v>
      </c>
      <c r="C1241" t="s">
        <v>3008</v>
      </c>
      <c r="D1241" t="s">
        <v>2780</v>
      </c>
      <c r="E1241" t="s">
        <v>2799</v>
      </c>
      <c r="F1241" t="str">
        <f>"84/99"</f>
        <v>84/99</v>
      </c>
      <c r="G1241" t="s">
        <v>1626</v>
      </c>
      <c r="H1241" t="s">
        <v>1627</v>
      </c>
      <c r="I1241">
        <v>27</v>
      </c>
    </row>
    <row r="1242" spans="1:9" ht="12.75">
      <c r="A1242">
        <v>1237</v>
      </c>
      <c r="B1242" t="s">
        <v>1628</v>
      </c>
      <c r="C1242" t="s">
        <v>2807</v>
      </c>
      <c r="D1242" t="s">
        <v>2780</v>
      </c>
      <c r="E1242" t="s">
        <v>2823</v>
      </c>
      <c r="F1242" t="str">
        <f>"418/504"</f>
        <v>418/504</v>
      </c>
      <c r="G1242" t="s">
        <v>3516</v>
      </c>
      <c r="H1242" t="s">
        <v>1629</v>
      </c>
      <c r="I1242">
        <v>26.99</v>
      </c>
    </row>
    <row r="1243" spans="1:9" ht="12.75">
      <c r="A1243">
        <v>1238</v>
      </c>
      <c r="B1243" t="s">
        <v>3635</v>
      </c>
      <c r="C1243" t="s">
        <v>1630</v>
      </c>
      <c r="D1243" t="s">
        <v>2780</v>
      </c>
      <c r="E1243" t="s">
        <v>2781</v>
      </c>
      <c r="F1243" t="str">
        <f>"278/329"</f>
        <v>278/329</v>
      </c>
      <c r="G1243" t="s">
        <v>3088</v>
      </c>
      <c r="H1243" t="s">
        <v>1631</v>
      </c>
      <c r="I1243">
        <v>26.99</v>
      </c>
    </row>
    <row r="1244" spans="1:9" ht="12.75">
      <c r="A1244">
        <v>1239</v>
      </c>
      <c r="B1244" t="s">
        <v>1632</v>
      </c>
      <c r="C1244" t="s">
        <v>1633</v>
      </c>
      <c r="D1244" t="s">
        <v>3031</v>
      </c>
      <c r="E1244" t="s">
        <v>3244</v>
      </c>
      <c r="F1244" t="str">
        <f>"25/63"</f>
        <v>25/63</v>
      </c>
      <c r="G1244" t="s">
        <v>59</v>
      </c>
      <c r="H1244" t="s">
        <v>1634</v>
      </c>
      <c r="I1244">
        <v>26.98</v>
      </c>
    </row>
    <row r="1245" spans="1:9" ht="12.75">
      <c r="A1245">
        <v>1240</v>
      </c>
      <c r="B1245" t="s">
        <v>1635</v>
      </c>
      <c r="C1245" t="s">
        <v>3652</v>
      </c>
      <c r="D1245" t="s">
        <v>2780</v>
      </c>
      <c r="E1245" t="s">
        <v>2823</v>
      </c>
      <c r="F1245" t="str">
        <f>"419/504"</f>
        <v>419/504</v>
      </c>
      <c r="G1245" t="s">
        <v>2800</v>
      </c>
      <c r="H1245" t="s">
        <v>1636</v>
      </c>
      <c r="I1245">
        <v>26.97</v>
      </c>
    </row>
    <row r="1246" spans="1:9" ht="12.75">
      <c r="A1246">
        <v>1241</v>
      </c>
      <c r="B1246" t="s">
        <v>1637</v>
      </c>
      <c r="C1246" t="s">
        <v>109</v>
      </c>
      <c r="D1246" t="s">
        <v>2780</v>
      </c>
      <c r="E1246" t="s">
        <v>2818</v>
      </c>
      <c r="F1246" t="str">
        <f>"211/307"</f>
        <v>211/307</v>
      </c>
      <c r="G1246" t="s">
        <v>3492</v>
      </c>
      <c r="H1246" t="s">
        <v>1638</v>
      </c>
      <c r="I1246">
        <v>26.97</v>
      </c>
    </row>
    <row r="1247" spans="1:9" ht="12.75">
      <c r="A1247">
        <v>1242</v>
      </c>
      <c r="B1247" t="s">
        <v>1639</v>
      </c>
      <c r="C1247" t="s">
        <v>3141</v>
      </c>
      <c r="D1247" t="s">
        <v>2780</v>
      </c>
      <c r="E1247" t="s">
        <v>2823</v>
      </c>
      <c r="F1247" t="str">
        <f>"420/504"</f>
        <v>420/504</v>
      </c>
      <c r="G1247" t="s">
        <v>59</v>
      </c>
      <c r="H1247" t="s">
        <v>1640</v>
      </c>
      <c r="I1247">
        <v>26.95</v>
      </c>
    </row>
    <row r="1248" spans="1:9" ht="12.75">
      <c r="A1248">
        <v>1243</v>
      </c>
      <c r="B1248" t="s">
        <v>1641</v>
      </c>
      <c r="C1248" t="s">
        <v>2865</v>
      </c>
      <c r="D1248" t="s">
        <v>2780</v>
      </c>
      <c r="E1248" t="s">
        <v>2818</v>
      </c>
      <c r="F1248" t="str">
        <f>"212/307"</f>
        <v>212/307</v>
      </c>
      <c r="G1248" t="s">
        <v>5179</v>
      </c>
      <c r="H1248" t="s">
        <v>1642</v>
      </c>
      <c r="I1248">
        <v>26.95</v>
      </c>
    </row>
    <row r="1249" spans="1:9" ht="12.75">
      <c r="A1249">
        <v>1244</v>
      </c>
      <c r="B1249" t="s">
        <v>1643</v>
      </c>
      <c r="C1249" t="s">
        <v>1577</v>
      </c>
      <c r="D1249" t="s">
        <v>2780</v>
      </c>
      <c r="E1249" t="s">
        <v>3209</v>
      </c>
      <c r="F1249" t="str">
        <f>"26/62"</f>
        <v>26/62</v>
      </c>
      <c r="G1249" t="s">
        <v>1644</v>
      </c>
      <c r="H1249" t="s">
        <v>1645</v>
      </c>
      <c r="I1249">
        <v>26.95</v>
      </c>
    </row>
    <row r="1250" spans="1:9" ht="12.75">
      <c r="A1250">
        <v>1245</v>
      </c>
      <c r="B1250" t="s">
        <v>3090</v>
      </c>
      <c r="C1250" t="s">
        <v>1646</v>
      </c>
      <c r="D1250" t="s">
        <v>2780</v>
      </c>
      <c r="E1250" t="s">
        <v>2973</v>
      </c>
      <c r="F1250" t="str">
        <f>"102/167"</f>
        <v>102/167</v>
      </c>
      <c r="G1250" t="s">
        <v>2787</v>
      </c>
      <c r="H1250" t="s">
        <v>1647</v>
      </c>
      <c r="I1250">
        <v>26.92</v>
      </c>
    </row>
    <row r="1251" spans="1:9" ht="12.75">
      <c r="A1251">
        <v>1246</v>
      </c>
      <c r="B1251" t="s">
        <v>1648</v>
      </c>
      <c r="C1251" t="s">
        <v>1649</v>
      </c>
      <c r="D1251" t="s">
        <v>3031</v>
      </c>
      <c r="E1251" t="s">
        <v>3244</v>
      </c>
      <c r="F1251" t="str">
        <f>"26/63"</f>
        <v>26/63</v>
      </c>
      <c r="G1251" t="s">
        <v>2787</v>
      </c>
      <c r="H1251" t="s">
        <v>1650</v>
      </c>
      <c r="I1251">
        <v>26.92</v>
      </c>
    </row>
    <row r="1252" spans="1:9" ht="12.75">
      <c r="A1252">
        <v>1247</v>
      </c>
      <c r="B1252" t="s">
        <v>1651</v>
      </c>
      <c r="C1252" t="s">
        <v>2861</v>
      </c>
      <c r="D1252" t="s">
        <v>2780</v>
      </c>
      <c r="E1252" t="s">
        <v>2799</v>
      </c>
      <c r="F1252" t="str">
        <f>"85/99"</f>
        <v>85/99</v>
      </c>
      <c r="G1252" t="s">
        <v>59</v>
      </c>
      <c r="H1252" t="s">
        <v>1652</v>
      </c>
      <c r="I1252">
        <v>26.92</v>
      </c>
    </row>
    <row r="1253" spans="1:9" ht="12.75">
      <c r="A1253">
        <v>1248</v>
      </c>
      <c r="B1253" t="s">
        <v>5384</v>
      </c>
      <c r="C1253" t="s">
        <v>700</v>
      </c>
      <c r="D1253" t="s">
        <v>2780</v>
      </c>
      <c r="E1253" t="s">
        <v>2818</v>
      </c>
      <c r="F1253" t="str">
        <f>"213/307"</f>
        <v>213/307</v>
      </c>
      <c r="G1253" t="s">
        <v>3363</v>
      </c>
      <c r="H1253" t="s">
        <v>1653</v>
      </c>
      <c r="I1253">
        <v>26.91</v>
      </c>
    </row>
    <row r="1254" spans="1:9" ht="12.75">
      <c r="A1254">
        <v>1249</v>
      </c>
      <c r="B1254" t="s">
        <v>1654</v>
      </c>
      <c r="C1254" t="s">
        <v>2865</v>
      </c>
      <c r="D1254" t="s">
        <v>2780</v>
      </c>
      <c r="E1254" t="s">
        <v>2818</v>
      </c>
      <c r="F1254" t="str">
        <f>"214/307"</f>
        <v>214/307</v>
      </c>
      <c r="G1254" t="s">
        <v>3067</v>
      </c>
      <c r="H1254" t="s">
        <v>1655</v>
      </c>
      <c r="I1254">
        <v>26.87</v>
      </c>
    </row>
    <row r="1255" spans="1:9" ht="12.75">
      <c r="A1255">
        <v>1250</v>
      </c>
      <c r="B1255" t="s">
        <v>1656</v>
      </c>
      <c r="C1255" t="s">
        <v>5387</v>
      </c>
      <c r="D1255" t="s">
        <v>2780</v>
      </c>
      <c r="E1255" t="s">
        <v>2781</v>
      </c>
      <c r="F1255" t="str">
        <f>"279/329"</f>
        <v>279/329</v>
      </c>
      <c r="G1255" t="s">
        <v>1657</v>
      </c>
      <c r="H1255" t="s">
        <v>1658</v>
      </c>
      <c r="I1255">
        <v>26.86</v>
      </c>
    </row>
    <row r="1256" spans="1:9" ht="12.75">
      <c r="A1256">
        <v>1251</v>
      </c>
      <c r="B1256" t="s">
        <v>585</v>
      </c>
      <c r="C1256" t="s">
        <v>3542</v>
      </c>
      <c r="D1256" t="s">
        <v>2780</v>
      </c>
      <c r="E1256" t="s">
        <v>3209</v>
      </c>
      <c r="F1256" t="str">
        <f>"27/62"</f>
        <v>27/62</v>
      </c>
      <c r="G1256" t="s">
        <v>1659</v>
      </c>
      <c r="H1256" t="s">
        <v>1660</v>
      </c>
      <c r="I1256">
        <v>26.86</v>
      </c>
    </row>
    <row r="1257" spans="1:9" ht="12.75">
      <c r="A1257">
        <v>1252</v>
      </c>
      <c r="B1257" t="s">
        <v>1661</v>
      </c>
      <c r="C1257" t="s">
        <v>1662</v>
      </c>
      <c r="D1257" t="s">
        <v>2780</v>
      </c>
      <c r="E1257" t="s">
        <v>3209</v>
      </c>
      <c r="F1257" t="str">
        <f>"28/62"</f>
        <v>28/62</v>
      </c>
      <c r="G1257" t="s">
        <v>1659</v>
      </c>
      <c r="H1257" t="s">
        <v>1663</v>
      </c>
      <c r="I1257">
        <v>26.85</v>
      </c>
    </row>
    <row r="1258" spans="1:9" ht="12.75">
      <c r="A1258">
        <v>1253</v>
      </c>
      <c r="B1258" t="s">
        <v>1664</v>
      </c>
      <c r="C1258" t="s">
        <v>3276</v>
      </c>
      <c r="D1258" t="s">
        <v>2780</v>
      </c>
      <c r="E1258" t="s">
        <v>2823</v>
      </c>
      <c r="F1258" t="str">
        <f>"421/504"</f>
        <v>421/504</v>
      </c>
      <c r="G1258" t="s">
        <v>1665</v>
      </c>
      <c r="H1258" t="s">
        <v>1666</v>
      </c>
      <c r="I1258">
        <v>26.83</v>
      </c>
    </row>
    <row r="1259" spans="1:9" ht="12.75">
      <c r="A1259">
        <v>1254</v>
      </c>
      <c r="B1259" t="s">
        <v>1667</v>
      </c>
      <c r="C1259" t="s">
        <v>5211</v>
      </c>
      <c r="D1259" t="s">
        <v>2780</v>
      </c>
      <c r="E1259" t="s">
        <v>2781</v>
      </c>
      <c r="F1259" t="str">
        <f>"280/329"</f>
        <v>280/329</v>
      </c>
      <c r="G1259" t="s">
        <v>5721</v>
      </c>
      <c r="H1259" t="s">
        <v>1668</v>
      </c>
      <c r="I1259">
        <v>26.83</v>
      </c>
    </row>
    <row r="1260" spans="1:9" ht="12.75">
      <c r="A1260">
        <v>1255</v>
      </c>
      <c r="B1260" t="s">
        <v>3539</v>
      </c>
      <c r="C1260" t="s">
        <v>2861</v>
      </c>
      <c r="D1260" t="s">
        <v>2780</v>
      </c>
      <c r="E1260" t="s">
        <v>2799</v>
      </c>
      <c r="F1260" t="str">
        <f>"86/99"</f>
        <v>86/99</v>
      </c>
      <c r="G1260" t="s">
        <v>795</v>
      </c>
      <c r="H1260" t="s">
        <v>1669</v>
      </c>
      <c r="I1260">
        <v>26.83</v>
      </c>
    </row>
    <row r="1261" spans="1:9" ht="12.75">
      <c r="A1261">
        <v>1256</v>
      </c>
      <c r="B1261" t="s">
        <v>2867</v>
      </c>
      <c r="C1261" t="s">
        <v>1670</v>
      </c>
      <c r="D1261" t="s">
        <v>3031</v>
      </c>
      <c r="E1261" t="s">
        <v>3209</v>
      </c>
      <c r="F1261" t="str">
        <f>"29/62"</f>
        <v>29/62</v>
      </c>
      <c r="G1261" t="s">
        <v>1665</v>
      </c>
      <c r="H1261" t="s">
        <v>1671</v>
      </c>
      <c r="I1261">
        <v>26.82</v>
      </c>
    </row>
    <row r="1262" spans="1:9" ht="12.75">
      <c r="A1262">
        <v>1257</v>
      </c>
      <c r="B1262" t="s">
        <v>3189</v>
      </c>
      <c r="C1262" t="s">
        <v>2931</v>
      </c>
      <c r="D1262" t="s">
        <v>2780</v>
      </c>
      <c r="E1262" t="s">
        <v>2818</v>
      </c>
      <c r="F1262" t="str">
        <f>"215/307"</f>
        <v>215/307</v>
      </c>
      <c r="G1262" t="s">
        <v>5502</v>
      </c>
      <c r="H1262" t="s">
        <v>1672</v>
      </c>
      <c r="I1262">
        <v>26.82</v>
      </c>
    </row>
    <row r="1263" spans="1:9" ht="12.75">
      <c r="A1263">
        <v>1258</v>
      </c>
      <c r="B1263" t="s">
        <v>1673</v>
      </c>
      <c r="C1263" t="s">
        <v>2865</v>
      </c>
      <c r="D1263" t="s">
        <v>2780</v>
      </c>
      <c r="E1263" t="s">
        <v>2818</v>
      </c>
      <c r="F1263" t="str">
        <f>"216/307"</f>
        <v>216/307</v>
      </c>
      <c r="G1263" t="s">
        <v>2920</v>
      </c>
      <c r="H1263" t="s">
        <v>1674</v>
      </c>
      <c r="I1263">
        <v>26.81</v>
      </c>
    </row>
    <row r="1264" spans="1:9" ht="12.75">
      <c r="A1264">
        <v>1259</v>
      </c>
      <c r="B1264" t="s">
        <v>1675</v>
      </c>
      <c r="C1264" t="s">
        <v>2814</v>
      </c>
      <c r="D1264" t="s">
        <v>2780</v>
      </c>
      <c r="E1264" t="s">
        <v>2823</v>
      </c>
      <c r="F1264" t="str">
        <f>"422/504"</f>
        <v>422/504</v>
      </c>
      <c r="G1264" t="s">
        <v>566</v>
      </c>
      <c r="H1264" t="s">
        <v>1676</v>
      </c>
      <c r="I1264">
        <v>26.81</v>
      </c>
    </row>
    <row r="1265" spans="1:9" ht="12.75">
      <c r="A1265">
        <v>1260</v>
      </c>
      <c r="B1265" t="s">
        <v>5465</v>
      </c>
      <c r="C1265" t="s">
        <v>2836</v>
      </c>
      <c r="D1265" t="s">
        <v>2780</v>
      </c>
      <c r="E1265" t="s">
        <v>3209</v>
      </c>
      <c r="F1265" t="str">
        <f>"30/62"</f>
        <v>30/62</v>
      </c>
      <c r="G1265" t="s">
        <v>3095</v>
      </c>
      <c r="H1265" t="s">
        <v>1677</v>
      </c>
      <c r="I1265">
        <v>26.81</v>
      </c>
    </row>
    <row r="1266" spans="1:9" ht="12.75">
      <c r="A1266">
        <v>1261</v>
      </c>
      <c r="B1266" t="s">
        <v>1678</v>
      </c>
      <c r="C1266" t="s">
        <v>3114</v>
      </c>
      <c r="D1266" t="s">
        <v>2780</v>
      </c>
      <c r="E1266" t="s">
        <v>2781</v>
      </c>
      <c r="F1266" t="str">
        <f>"281/329"</f>
        <v>281/329</v>
      </c>
      <c r="G1266" t="s">
        <v>1679</v>
      </c>
      <c r="H1266" t="s">
        <v>1680</v>
      </c>
      <c r="I1266">
        <v>26.81</v>
      </c>
    </row>
    <row r="1267" spans="1:9" ht="12.75">
      <c r="A1267">
        <v>1262</v>
      </c>
      <c r="B1267" t="s">
        <v>1681</v>
      </c>
      <c r="C1267" t="s">
        <v>2840</v>
      </c>
      <c r="D1267" t="s">
        <v>2780</v>
      </c>
      <c r="E1267" t="s">
        <v>2818</v>
      </c>
      <c r="F1267" t="str">
        <f>"217/307"</f>
        <v>217/307</v>
      </c>
      <c r="G1267" t="s">
        <v>566</v>
      </c>
      <c r="H1267" t="s">
        <v>1682</v>
      </c>
      <c r="I1267">
        <v>26.8</v>
      </c>
    </row>
    <row r="1268" spans="1:9" ht="12.75">
      <c r="A1268">
        <v>1263</v>
      </c>
      <c r="B1268" t="s">
        <v>1683</v>
      </c>
      <c r="C1268" t="s">
        <v>2861</v>
      </c>
      <c r="D1268" t="s">
        <v>2780</v>
      </c>
      <c r="E1268" t="s">
        <v>2823</v>
      </c>
      <c r="F1268" t="str">
        <f>"423/504"</f>
        <v>423/504</v>
      </c>
      <c r="G1268" t="s">
        <v>1684</v>
      </c>
      <c r="H1268" t="s">
        <v>1685</v>
      </c>
      <c r="I1268">
        <v>26.8</v>
      </c>
    </row>
    <row r="1269" spans="1:9" ht="12.75">
      <c r="A1269">
        <v>1264</v>
      </c>
      <c r="B1269" t="s">
        <v>3378</v>
      </c>
      <c r="C1269" t="s">
        <v>696</v>
      </c>
      <c r="D1269" t="s">
        <v>2780</v>
      </c>
      <c r="E1269" t="s">
        <v>2823</v>
      </c>
      <c r="F1269" t="str">
        <f>"424/504"</f>
        <v>424/504</v>
      </c>
      <c r="G1269" t="s">
        <v>795</v>
      </c>
      <c r="H1269" t="s">
        <v>1686</v>
      </c>
      <c r="I1269">
        <v>26.79</v>
      </c>
    </row>
    <row r="1270" spans="1:9" ht="12.75">
      <c r="A1270">
        <v>1265</v>
      </c>
      <c r="B1270" t="s">
        <v>1687</v>
      </c>
      <c r="C1270" t="s">
        <v>3087</v>
      </c>
      <c r="D1270" t="s">
        <v>2780</v>
      </c>
      <c r="E1270" t="s">
        <v>2823</v>
      </c>
      <c r="F1270" t="str">
        <f>"425/504"</f>
        <v>425/504</v>
      </c>
      <c r="G1270" t="s">
        <v>3252</v>
      </c>
      <c r="H1270" t="s">
        <v>1688</v>
      </c>
      <c r="I1270">
        <v>26.79</v>
      </c>
    </row>
    <row r="1271" spans="1:9" ht="12.75">
      <c r="A1271">
        <v>1266</v>
      </c>
      <c r="B1271" t="s">
        <v>1689</v>
      </c>
      <c r="C1271" t="s">
        <v>1690</v>
      </c>
      <c r="D1271" t="s">
        <v>3031</v>
      </c>
      <c r="E1271" t="s">
        <v>3209</v>
      </c>
      <c r="F1271" t="str">
        <f>"31/62"</f>
        <v>31/62</v>
      </c>
      <c r="G1271" t="s">
        <v>908</v>
      </c>
      <c r="H1271" t="s">
        <v>1691</v>
      </c>
      <c r="I1271">
        <v>26.79</v>
      </c>
    </row>
    <row r="1272" spans="1:9" ht="12.75">
      <c r="A1272">
        <v>1267</v>
      </c>
      <c r="B1272" t="s">
        <v>1692</v>
      </c>
      <c r="C1272" t="s">
        <v>43</v>
      </c>
      <c r="D1272" t="s">
        <v>2780</v>
      </c>
      <c r="E1272" t="s">
        <v>2818</v>
      </c>
      <c r="F1272" t="str">
        <f>"218/307"</f>
        <v>218/307</v>
      </c>
      <c r="G1272" t="s">
        <v>2787</v>
      </c>
      <c r="H1272" t="s">
        <v>1693</v>
      </c>
      <c r="I1272">
        <v>26.77</v>
      </c>
    </row>
    <row r="1273" spans="1:9" ht="12.75">
      <c r="A1273">
        <v>1268</v>
      </c>
      <c r="B1273" t="s">
        <v>1694</v>
      </c>
      <c r="C1273" t="s">
        <v>5387</v>
      </c>
      <c r="D1273" t="s">
        <v>2780</v>
      </c>
      <c r="E1273" t="s">
        <v>2973</v>
      </c>
      <c r="F1273" t="str">
        <f>"103/167"</f>
        <v>103/167</v>
      </c>
      <c r="G1273" t="s">
        <v>2994</v>
      </c>
      <c r="H1273" t="s">
        <v>1695</v>
      </c>
      <c r="I1273">
        <v>26.75</v>
      </c>
    </row>
    <row r="1274" spans="1:9" ht="12.75">
      <c r="A1274">
        <v>1269</v>
      </c>
      <c r="B1274" t="s">
        <v>1696</v>
      </c>
      <c r="C1274" t="s">
        <v>2817</v>
      </c>
      <c r="D1274" t="s">
        <v>2780</v>
      </c>
      <c r="E1274" t="s">
        <v>2818</v>
      </c>
      <c r="F1274" t="str">
        <f>"219/307"</f>
        <v>219/307</v>
      </c>
      <c r="G1274" t="s">
        <v>3060</v>
      </c>
      <c r="H1274" t="s">
        <v>1697</v>
      </c>
      <c r="I1274">
        <v>26.74</v>
      </c>
    </row>
    <row r="1275" spans="1:9" ht="12.75">
      <c r="A1275">
        <v>1270</v>
      </c>
      <c r="B1275" t="s">
        <v>1698</v>
      </c>
      <c r="C1275" t="s">
        <v>1699</v>
      </c>
      <c r="D1275" t="s">
        <v>2780</v>
      </c>
      <c r="E1275" t="s">
        <v>2973</v>
      </c>
      <c r="F1275" t="str">
        <f>"104/167"</f>
        <v>104/167</v>
      </c>
      <c r="G1275" t="s">
        <v>2889</v>
      </c>
      <c r="H1275" t="s">
        <v>1700</v>
      </c>
      <c r="I1275">
        <v>26.73</v>
      </c>
    </row>
    <row r="1276" spans="1:9" ht="12.75">
      <c r="A1276">
        <v>1271</v>
      </c>
      <c r="B1276" t="s">
        <v>1701</v>
      </c>
      <c r="C1276" t="s">
        <v>54</v>
      </c>
      <c r="D1276" t="s">
        <v>2780</v>
      </c>
      <c r="E1276" t="s">
        <v>2823</v>
      </c>
      <c r="F1276" t="str">
        <f>"426/504"</f>
        <v>426/504</v>
      </c>
      <c r="G1276" t="s">
        <v>1702</v>
      </c>
      <c r="H1276" t="s">
        <v>1703</v>
      </c>
      <c r="I1276">
        <v>26.73</v>
      </c>
    </row>
    <row r="1277" spans="1:9" ht="12.75">
      <c r="A1277">
        <v>1272</v>
      </c>
      <c r="B1277" t="s">
        <v>1704</v>
      </c>
      <c r="C1277" t="s">
        <v>3057</v>
      </c>
      <c r="D1277" t="s">
        <v>2780</v>
      </c>
      <c r="E1277" t="s">
        <v>2973</v>
      </c>
      <c r="F1277" t="str">
        <f>"105/167"</f>
        <v>105/167</v>
      </c>
      <c r="G1277" t="s">
        <v>1705</v>
      </c>
      <c r="H1277" t="s">
        <v>1706</v>
      </c>
      <c r="I1277">
        <v>26.73</v>
      </c>
    </row>
    <row r="1278" spans="1:9" ht="12.75">
      <c r="A1278">
        <v>1273</v>
      </c>
      <c r="B1278" t="s">
        <v>1707</v>
      </c>
      <c r="C1278" t="s">
        <v>1708</v>
      </c>
      <c r="D1278" t="s">
        <v>2780</v>
      </c>
      <c r="E1278" t="s">
        <v>2781</v>
      </c>
      <c r="F1278" t="str">
        <f>"282/329"</f>
        <v>282/329</v>
      </c>
      <c r="G1278" t="s">
        <v>1709</v>
      </c>
      <c r="H1278" t="s">
        <v>1710</v>
      </c>
      <c r="I1278">
        <v>26.72</v>
      </c>
    </row>
    <row r="1279" spans="1:9" ht="12.75">
      <c r="A1279">
        <v>1274</v>
      </c>
      <c r="B1279" t="s">
        <v>1711</v>
      </c>
      <c r="C1279" t="s">
        <v>2810</v>
      </c>
      <c r="D1279" t="s">
        <v>2780</v>
      </c>
      <c r="E1279" t="s">
        <v>2786</v>
      </c>
      <c r="F1279" t="str">
        <f>"56/58"</f>
        <v>56/58</v>
      </c>
      <c r="G1279" t="s">
        <v>1702</v>
      </c>
      <c r="H1279" t="s">
        <v>1712</v>
      </c>
      <c r="I1279">
        <v>26.72</v>
      </c>
    </row>
    <row r="1280" spans="1:9" ht="12.75">
      <c r="A1280">
        <v>1275</v>
      </c>
      <c r="B1280" t="s">
        <v>1713</v>
      </c>
      <c r="C1280" t="s">
        <v>2865</v>
      </c>
      <c r="D1280" t="s">
        <v>2780</v>
      </c>
      <c r="E1280" t="s">
        <v>2823</v>
      </c>
      <c r="F1280" t="str">
        <f>"427/504"</f>
        <v>427/504</v>
      </c>
      <c r="G1280" t="s">
        <v>1714</v>
      </c>
      <c r="H1280" t="s">
        <v>1715</v>
      </c>
      <c r="I1280">
        <v>26.71</v>
      </c>
    </row>
    <row r="1281" spans="1:9" ht="12.75">
      <c r="A1281">
        <v>1276</v>
      </c>
      <c r="B1281" t="s">
        <v>1716</v>
      </c>
      <c r="C1281" t="s">
        <v>1717</v>
      </c>
      <c r="D1281" t="s">
        <v>2780</v>
      </c>
      <c r="E1281" t="s">
        <v>2823</v>
      </c>
      <c r="F1281" t="str">
        <f>"428/504"</f>
        <v>428/504</v>
      </c>
      <c r="G1281" t="s">
        <v>3206</v>
      </c>
      <c r="H1281" t="s">
        <v>1718</v>
      </c>
      <c r="I1281">
        <v>26.71</v>
      </c>
    </row>
    <row r="1282" spans="1:9" ht="12.75">
      <c r="A1282">
        <v>1277</v>
      </c>
      <c r="B1282" t="s">
        <v>1719</v>
      </c>
      <c r="C1282" t="s">
        <v>5211</v>
      </c>
      <c r="D1282" t="s">
        <v>2780</v>
      </c>
      <c r="E1282" t="s">
        <v>2973</v>
      </c>
      <c r="F1282" t="str">
        <f>"106/167"</f>
        <v>106/167</v>
      </c>
      <c r="G1282" t="s">
        <v>1720</v>
      </c>
      <c r="H1282" t="s">
        <v>1721</v>
      </c>
      <c r="I1282">
        <v>26.7</v>
      </c>
    </row>
    <row r="1283" spans="1:9" ht="12.75">
      <c r="A1283">
        <v>1278</v>
      </c>
      <c r="B1283" t="s">
        <v>1722</v>
      </c>
      <c r="C1283" t="s">
        <v>2942</v>
      </c>
      <c r="D1283" t="s">
        <v>2780</v>
      </c>
      <c r="E1283" t="s">
        <v>2973</v>
      </c>
      <c r="F1283" t="str">
        <f>"107/167"</f>
        <v>107/167</v>
      </c>
      <c r="G1283" t="s">
        <v>1723</v>
      </c>
      <c r="H1283" t="s">
        <v>1724</v>
      </c>
      <c r="I1283">
        <v>26.69</v>
      </c>
    </row>
    <row r="1284" spans="1:9" ht="12.75">
      <c r="A1284">
        <v>1279</v>
      </c>
      <c r="B1284" t="s">
        <v>1725</v>
      </c>
      <c r="C1284" t="s">
        <v>1726</v>
      </c>
      <c r="D1284" t="s">
        <v>3031</v>
      </c>
      <c r="E1284" t="s">
        <v>3209</v>
      </c>
      <c r="F1284" t="str">
        <f>"32/62"</f>
        <v>32/62</v>
      </c>
      <c r="G1284" t="s">
        <v>1727</v>
      </c>
      <c r="H1284" t="s">
        <v>1724</v>
      </c>
      <c r="I1284">
        <v>26.69</v>
      </c>
    </row>
    <row r="1285" spans="1:9" ht="12.75">
      <c r="A1285">
        <v>1280</v>
      </c>
      <c r="B1285" t="s">
        <v>1728</v>
      </c>
      <c r="C1285" t="s">
        <v>3560</v>
      </c>
      <c r="D1285" t="s">
        <v>2780</v>
      </c>
      <c r="E1285" t="s">
        <v>2823</v>
      </c>
      <c r="F1285" t="str">
        <f>"429/504"</f>
        <v>429/504</v>
      </c>
      <c r="G1285" t="s">
        <v>1729</v>
      </c>
      <c r="H1285" t="s">
        <v>1730</v>
      </c>
      <c r="I1285">
        <v>26.69</v>
      </c>
    </row>
    <row r="1286" spans="1:9" ht="12.75">
      <c r="A1286">
        <v>1281</v>
      </c>
      <c r="B1286" t="s">
        <v>1731</v>
      </c>
      <c r="C1286" t="s">
        <v>2807</v>
      </c>
      <c r="D1286" t="s">
        <v>2780</v>
      </c>
      <c r="E1286" t="s">
        <v>2781</v>
      </c>
      <c r="F1286" t="str">
        <f>"283/329"</f>
        <v>283/329</v>
      </c>
      <c r="G1286" t="s">
        <v>795</v>
      </c>
      <c r="H1286" t="s">
        <v>1732</v>
      </c>
      <c r="I1286">
        <v>26.69</v>
      </c>
    </row>
    <row r="1287" spans="1:9" ht="12.75">
      <c r="A1287">
        <v>1282</v>
      </c>
      <c r="B1287" t="s">
        <v>811</v>
      </c>
      <c r="C1287" t="s">
        <v>2822</v>
      </c>
      <c r="D1287" t="s">
        <v>2780</v>
      </c>
      <c r="E1287" t="s">
        <v>2973</v>
      </c>
      <c r="F1287" t="str">
        <f>"108/167"</f>
        <v>108/167</v>
      </c>
      <c r="G1287" t="s">
        <v>1733</v>
      </c>
      <c r="H1287" t="s">
        <v>1734</v>
      </c>
      <c r="I1287">
        <v>26.68</v>
      </c>
    </row>
    <row r="1288" spans="1:9" ht="12.75">
      <c r="A1288">
        <v>1283</v>
      </c>
      <c r="B1288" t="s">
        <v>1735</v>
      </c>
      <c r="C1288" t="s">
        <v>2814</v>
      </c>
      <c r="D1288" t="s">
        <v>2780</v>
      </c>
      <c r="E1288" t="s">
        <v>2786</v>
      </c>
      <c r="F1288" t="str">
        <f>"57/58"</f>
        <v>57/58</v>
      </c>
      <c r="G1288" t="s">
        <v>858</v>
      </c>
      <c r="H1288" t="s">
        <v>1736</v>
      </c>
      <c r="I1288">
        <v>26.68</v>
      </c>
    </row>
    <row r="1289" spans="1:9" ht="12.75">
      <c r="A1289">
        <v>1284</v>
      </c>
      <c r="B1289" t="s">
        <v>1737</v>
      </c>
      <c r="C1289" t="s">
        <v>3008</v>
      </c>
      <c r="D1289" t="s">
        <v>2780</v>
      </c>
      <c r="E1289" t="s">
        <v>2781</v>
      </c>
      <c r="F1289" t="str">
        <f>"284/329"</f>
        <v>284/329</v>
      </c>
      <c r="G1289" t="s">
        <v>795</v>
      </c>
      <c r="H1289" t="s">
        <v>1738</v>
      </c>
      <c r="I1289">
        <v>26.67</v>
      </c>
    </row>
    <row r="1290" spans="1:9" ht="12.75">
      <c r="A1290">
        <v>1285</v>
      </c>
      <c r="B1290" t="s">
        <v>3483</v>
      </c>
      <c r="C1290" t="s">
        <v>2865</v>
      </c>
      <c r="D1290" t="s">
        <v>2780</v>
      </c>
      <c r="E1290" t="s">
        <v>2823</v>
      </c>
      <c r="F1290" t="str">
        <f>"430/504"</f>
        <v>430/504</v>
      </c>
      <c r="G1290" t="s">
        <v>122</v>
      </c>
      <c r="H1290" t="s">
        <v>1739</v>
      </c>
      <c r="I1290">
        <v>26.66</v>
      </c>
    </row>
    <row r="1291" spans="1:9" ht="12.75">
      <c r="A1291">
        <v>1286</v>
      </c>
      <c r="B1291" t="s">
        <v>1740</v>
      </c>
      <c r="C1291" t="s">
        <v>2861</v>
      </c>
      <c r="D1291" t="s">
        <v>2780</v>
      </c>
      <c r="E1291" t="s">
        <v>2823</v>
      </c>
      <c r="F1291" t="str">
        <f>"431/504"</f>
        <v>431/504</v>
      </c>
      <c r="G1291" t="s">
        <v>1741</v>
      </c>
      <c r="H1291" t="s">
        <v>1742</v>
      </c>
      <c r="I1291">
        <v>26.66</v>
      </c>
    </row>
    <row r="1292" spans="1:9" ht="12.75">
      <c r="A1292">
        <v>1287</v>
      </c>
      <c r="B1292" t="s">
        <v>1743</v>
      </c>
      <c r="C1292" t="s">
        <v>1744</v>
      </c>
      <c r="D1292" t="s">
        <v>2780</v>
      </c>
      <c r="E1292" t="s">
        <v>2973</v>
      </c>
      <c r="F1292" t="str">
        <f>"109/167"</f>
        <v>109/167</v>
      </c>
      <c r="G1292" t="s">
        <v>1745</v>
      </c>
      <c r="H1292" t="s">
        <v>1746</v>
      </c>
      <c r="I1292">
        <v>26.64</v>
      </c>
    </row>
    <row r="1293" spans="1:9" ht="12.75">
      <c r="A1293">
        <v>1288</v>
      </c>
      <c r="B1293" t="s">
        <v>1747</v>
      </c>
      <c r="C1293" t="s">
        <v>3114</v>
      </c>
      <c r="D1293" t="s">
        <v>2780</v>
      </c>
      <c r="E1293" t="s">
        <v>2818</v>
      </c>
      <c r="F1293" t="str">
        <f>"220/307"</f>
        <v>220/307</v>
      </c>
      <c r="G1293" t="s">
        <v>4954</v>
      </c>
      <c r="H1293" t="s">
        <v>1748</v>
      </c>
      <c r="I1293">
        <v>26.63</v>
      </c>
    </row>
    <row r="1294" spans="1:9" ht="12.75">
      <c r="A1294">
        <v>1289</v>
      </c>
      <c r="B1294" t="s">
        <v>1749</v>
      </c>
      <c r="C1294" t="s">
        <v>3219</v>
      </c>
      <c r="D1294" t="s">
        <v>2780</v>
      </c>
      <c r="E1294" t="s">
        <v>2818</v>
      </c>
      <c r="F1294" t="str">
        <f>"221/307"</f>
        <v>221/307</v>
      </c>
      <c r="G1294" t="s">
        <v>664</v>
      </c>
      <c r="H1294" t="s">
        <v>1750</v>
      </c>
      <c r="I1294">
        <v>26.62</v>
      </c>
    </row>
    <row r="1295" spans="1:9" ht="12.75">
      <c r="A1295">
        <v>1290</v>
      </c>
      <c r="B1295" t="s">
        <v>283</v>
      </c>
      <c r="C1295" t="s">
        <v>3057</v>
      </c>
      <c r="D1295" t="s">
        <v>2780</v>
      </c>
      <c r="E1295" t="s">
        <v>2818</v>
      </c>
      <c r="F1295" t="str">
        <f>"222/307"</f>
        <v>222/307</v>
      </c>
      <c r="G1295" t="s">
        <v>1751</v>
      </c>
      <c r="H1295" t="s">
        <v>1752</v>
      </c>
      <c r="I1295">
        <v>26.62</v>
      </c>
    </row>
    <row r="1296" spans="1:9" ht="12.75">
      <c r="A1296">
        <v>1291</v>
      </c>
      <c r="B1296" t="s">
        <v>1753</v>
      </c>
      <c r="C1296" t="s">
        <v>2814</v>
      </c>
      <c r="D1296" t="s">
        <v>2780</v>
      </c>
      <c r="E1296" t="s">
        <v>2799</v>
      </c>
      <c r="F1296" t="str">
        <f>"87/99"</f>
        <v>87/99</v>
      </c>
      <c r="G1296" t="s">
        <v>1754</v>
      </c>
      <c r="H1296" t="s">
        <v>1755</v>
      </c>
      <c r="I1296">
        <v>26.62</v>
      </c>
    </row>
    <row r="1297" spans="1:9" ht="12.75">
      <c r="A1297">
        <v>1292</v>
      </c>
      <c r="B1297" t="s">
        <v>1756</v>
      </c>
      <c r="C1297" t="s">
        <v>2836</v>
      </c>
      <c r="D1297" t="s">
        <v>2780</v>
      </c>
      <c r="E1297" t="s">
        <v>2781</v>
      </c>
      <c r="F1297" t="str">
        <f>"285/329"</f>
        <v>285/329</v>
      </c>
      <c r="G1297" t="s">
        <v>1754</v>
      </c>
      <c r="H1297" t="s">
        <v>1757</v>
      </c>
      <c r="I1297">
        <v>26.61</v>
      </c>
    </row>
    <row r="1298" spans="1:9" ht="12.75">
      <c r="A1298">
        <v>1293</v>
      </c>
      <c r="B1298" t="s">
        <v>1758</v>
      </c>
      <c r="C1298" t="s">
        <v>1759</v>
      </c>
      <c r="D1298" t="s">
        <v>3031</v>
      </c>
      <c r="E1298" t="s">
        <v>3244</v>
      </c>
      <c r="F1298" t="str">
        <f>"27/63"</f>
        <v>27/63</v>
      </c>
      <c r="G1298" t="s">
        <v>1760</v>
      </c>
      <c r="H1298" t="s">
        <v>1761</v>
      </c>
      <c r="I1298">
        <v>26.6</v>
      </c>
    </row>
    <row r="1299" spans="1:9" ht="12.75">
      <c r="A1299">
        <v>1294</v>
      </c>
      <c r="B1299" t="s">
        <v>1762</v>
      </c>
      <c r="C1299" t="s">
        <v>3286</v>
      </c>
      <c r="D1299" t="s">
        <v>2780</v>
      </c>
      <c r="E1299" t="s">
        <v>2973</v>
      </c>
      <c r="F1299" t="str">
        <f>"110/167"</f>
        <v>110/167</v>
      </c>
      <c r="G1299" t="s">
        <v>5594</v>
      </c>
      <c r="H1299" t="s">
        <v>1763</v>
      </c>
      <c r="I1299">
        <v>26.59</v>
      </c>
    </row>
    <row r="1300" spans="1:9" ht="12.75">
      <c r="A1300">
        <v>1295</v>
      </c>
      <c r="B1300" t="s">
        <v>3086</v>
      </c>
      <c r="C1300" t="s">
        <v>2942</v>
      </c>
      <c r="D1300" t="s">
        <v>2780</v>
      </c>
      <c r="E1300" t="s">
        <v>2973</v>
      </c>
      <c r="F1300" t="str">
        <f>"111/167"</f>
        <v>111/167</v>
      </c>
      <c r="G1300" t="s">
        <v>1684</v>
      </c>
      <c r="H1300" t="s">
        <v>1764</v>
      </c>
      <c r="I1300">
        <v>26.59</v>
      </c>
    </row>
    <row r="1301" spans="1:9" ht="12.75">
      <c r="A1301">
        <v>1296</v>
      </c>
      <c r="B1301" t="s">
        <v>1765</v>
      </c>
      <c r="C1301" t="s">
        <v>2951</v>
      </c>
      <c r="D1301" t="s">
        <v>2780</v>
      </c>
      <c r="E1301" t="s">
        <v>2781</v>
      </c>
      <c r="F1301" t="str">
        <f>"286/329"</f>
        <v>286/329</v>
      </c>
      <c r="G1301" t="s">
        <v>5721</v>
      </c>
      <c r="H1301" t="s">
        <v>1766</v>
      </c>
      <c r="I1301">
        <v>26.59</v>
      </c>
    </row>
    <row r="1302" spans="1:9" ht="12.75">
      <c r="A1302">
        <v>1297</v>
      </c>
      <c r="B1302" t="s">
        <v>2835</v>
      </c>
      <c r="C1302" t="s">
        <v>1767</v>
      </c>
      <c r="D1302" t="s">
        <v>2780</v>
      </c>
      <c r="E1302" t="s">
        <v>2823</v>
      </c>
      <c r="F1302" t="str">
        <f>"432/504"</f>
        <v>432/504</v>
      </c>
      <c r="G1302" t="s">
        <v>5027</v>
      </c>
      <c r="H1302" t="s">
        <v>1768</v>
      </c>
      <c r="I1302">
        <v>26.58</v>
      </c>
    </row>
    <row r="1303" spans="1:9" ht="12.75">
      <c r="A1303">
        <v>1298</v>
      </c>
      <c r="B1303" t="s">
        <v>1769</v>
      </c>
      <c r="C1303" t="s">
        <v>504</v>
      </c>
      <c r="D1303" t="s">
        <v>2780</v>
      </c>
      <c r="E1303" t="s">
        <v>2818</v>
      </c>
      <c r="F1303" t="str">
        <f>"223/307"</f>
        <v>223/307</v>
      </c>
      <c r="G1303" t="s">
        <v>1770</v>
      </c>
      <c r="H1303" t="s">
        <v>1771</v>
      </c>
      <c r="I1303">
        <v>26.57</v>
      </c>
    </row>
    <row r="1304" spans="1:9" ht="12.75">
      <c r="A1304">
        <v>1299</v>
      </c>
      <c r="B1304" t="s">
        <v>1772</v>
      </c>
      <c r="C1304" t="s">
        <v>3114</v>
      </c>
      <c r="D1304" t="s">
        <v>2780</v>
      </c>
      <c r="E1304" t="s">
        <v>2781</v>
      </c>
      <c r="F1304" t="str">
        <f>"287/329"</f>
        <v>287/329</v>
      </c>
      <c r="G1304" t="s">
        <v>1745</v>
      </c>
      <c r="H1304" t="s">
        <v>1773</v>
      </c>
      <c r="I1304">
        <v>26.57</v>
      </c>
    </row>
    <row r="1305" spans="1:9" ht="12.75">
      <c r="A1305">
        <v>1300</v>
      </c>
      <c r="B1305" t="s">
        <v>1774</v>
      </c>
      <c r="C1305" t="s">
        <v>3008</v>
      </c>
      <c r="D1305" t="s">
        <v>2780</v>
      </c>
      <c r="E1305" t="s">
        <v>2823</v>
      </c>
      <c r="F1305" t="str">
        <f>"433/504"</f>
        <v>433/504</v>
      </c>
      <c r="G1305" t="s">
        <v>1745</v>
      </c>
      <c r="H1305" t="s">
        <v>1775</v>
      </c>
      <c r="I1305">
        <v>26.56</v>
      </c>
    </row>
    <row r="1306" spans="1:9" ht="12.75">
      <c r="A1306">
        <v>1301</v>
      </c>
      <c r="B1306" t="s">
        <v>3430</v>
      </c>
      <c r="C1306" t="s">
        <v>3114</v>
      </c>
      <c r="D1306" t="s">
        <v>2780</v>
      </c>
      <c r="E1306" t="s">
        <v>2973</v>
      </c>
      <c r="F1306" t="str">
        <f>"112/167"</f>
        <v>112/167</v>
      </c>
      <c r="G1306" t="s">
        <v>1776</v>
      </c>
      <c r="H1306" t="s">
        <v>1777</v>
      </c>
      <c r="I1306">
        <v>26.56</v>
      </c>
    </row>
    <row r="1307" spans="1:9" ht="12.75">
      <c r="A1307">
        <v>1302</v>
      </c>
      <c r="B1307" t="s">
        <v>1778</v>
      </c>
      <c r="C1307" t="s">
        <v>1779</v>
      </c>
      <c r="D1307" t="s">
        <v>3031</v>
      </c>
      <c r="E1307" t="s">
        <v>3244</v>
      </c>
      <c r="F1307" t="str">
        <f>"28/63"</f>
        <v>28/63</v>
      </c>
      <c r="G1307" t="s">
        <v>1780</v>
      </c>
      <c r="H1307" t="s">
        <v>1781</v>
      </c>
      <c r="I1307">
        <v>26.53</v>
      </c>
    </row>
    <row r="1308" spans="1:9" ht="12.75">
      <c r="A1308">
        <v>1303</v>
      </c>
      <c r="B1308" t="s">
        <v>1782</v>
      </c>
      <c r="C1308" t="s">
        <v>2836</v>
      </c>
      <c r="D1308" t="s">
        <v>2780</v>
      </c>
      <c r="E1308" t="s">
        <v>2823</v>
      </c>
      <c r="F1308" t="str">
        <f>"434/504"</f>
        <v>434/504</v>
      </c>
      <c r="G1308" t="s">
        <v>858</v>
      </c>
      <c r="H1308" t="s">
        <v>1783</v>
      </c>
      <c r="I1308">
        <v>26.51</v>
      </c>
    </row>
    <row r="1309" spans="1:9" ht="12.75">
      <c r="A1309">
        <v>1304</v>
      </c>
      <c r="B1309" t="s">
        <v>1784</v>
      </c>
      <c r="C1309" t="s">
        <v>2991</v>
      </c>
      <c r="D1309" t="s">
        <v>2780</v>
      </c>
      <c r="E1309" t="s">
        <v>2818</v>
      </c>
      <c r="F1309" t="str">
        <f>"224/307"</f>
        <v>224/307</v>
      </c>
      <c r="G1309" t="s">
        <v>858</v>
      </c>
      <c r="H1309" t="s">
        <v>1785</v>
      </c>
      <c r="I1309">
        <v>26.5</v>
      </c>
    </row>
    <row r="1310" spans="1:9" ht="12.75">
      <c r="A1310">
        <v>1305</v>
      </c>
      <c r="B1310" t="s">
        <v>1786</v>
      </c>
      <c r="C1310" t="s">
        <v>2868</v>
      </c>
      <c r="D1310" t="s">
        <v>2780</v>
      </c>
      <c r="E1310" t="s">
        <v>2818</v>
      </c>
      <c r="F1310" t="str">
        <f>"225/307"</f>
        <v>225/307</v>
      </c>
      <c r="G1310" t="s">
        <v>1787</v>
      </c>
      <c r="H1310" t="s">
        <v>1788</v>
      </c>
      <c r="I1310">
        <v>26.5</v>
      </c>
    </row>
    <row r="1311" spans="1:9" ht="12.75">
      <c r="A1311">
        <v>1306</v>
      </c>
      <c r="B1311" t="s">
        <v>1789</v>
      </c>
      <c r="C1311" t="s">
        <v>3057</v>
      </c>
      <c r="D1311" t="s">
        <v>2780</v>
      </c>
      <c r="E1311" t="s">
        <v>2818</v>
      </c>
      <c r="F1311" t="str">
        <f>"226/307"</f>
        <v>226/307</v>
      </c>
      <c r="G1311" t="s">
        <v>3516</v>
      </c>
      <c r="H1311" t="s">
        <v>1790</v>
      </c>
      <c r="I1311">
        <v>26.49</v>
      </c>
    </row>
    <row r="1312" spans="1:9" ht="12.75">
      <c r="A1312">
        <v>1307</v>
      </c>
      <c r="B1312" t="s">
        <v>629</v>
      </c>
      <c r="C1312" t="s">
        <v>3030</v>
      </c>
      <c r="D1312" t="s">
        <v>3031</v>
      </c>
      <c r="E1312" t="s">
        <v>3244</v>
      </c>
      <c r="F1312" t="str">
        <f>"29/63"</f>
        <v>29/63</v>
      </c>
      <c r="G1312" t="s">
        <v>1791</v>
      </c>
      <c r="H1312" t="s">
        <v>1792</v>
      </c>
      <c r="I1312">
        <v>26.48</v>
      </c>
    </row>
    <row r="1313" spans="1:9" ht="12.75">
      <c r="A1313">
        <v>1308</v>
      </c>
      <c r="B1313" t="s">
        <v>1793</v>
      </c>
      <c r="C1313" t="s">
        <v>3542</v>
      </c>
      <c r="D1313" t="s">
        <v>2780</v>
      </c>
      <c r="E1313" t="s">
        <v>2823</v>
      </c>
      <c r="F1313" t="str">
        <f>"435/504"</f>
        <v>435/504</v>
      </c>
      <c r="G1313" t="s">
        <v>122</v>
      </c>
      <c r="H1313" t="s">
        <v>1794</v>
      </c>
      <c r="I1313">
        <v>26.47</v>
      </c>
    </row>
    <row r="1314" spans="1:9" ht="12.75">
      <c r="A1314">
        <v>1309</v>
      </c>
      <c r="B1314" t="s">
        <v>3257</v>
      </c>
      <c r="C1314" t="s">
        <v>3114</v>
      </c>
      <c r="D1314" t="s">
        <v>2780</v>
      </c>
      <c r="E1314" t="s">
        <v>3209</v>
      </c>
      <c r="F1314" t="str">
        <f>"33/62"</f>
        <v>33/62</v>
      </c>
      <c r="G1314" t="s">
        <v>5071</v>
      </c>
      <c r="H1314" t="s">
        <v>1795</v>
      </c>
      <c r="I1314">
        <v>26.47</v>
      </c>
    </row>
    <row r="1315" spans="1:9" ht="12.75">
      <c r="A1315">
        <v>1310</v>
      </c>
      <c r="B1315" t="s">
        <v>1796</v>
      </c>
      <c r="C1315" t="s">
        <v>2836</v>
      </c>
      <c r="D1315" t="s">
        <v>2780</v>
      </c>
      <c r="E1315" t="s">
        <v>2823</v>
      </c>
      <c r="F1315" t="str">
        <f>"436/504"</f>
        <v>436/504</v>
      </c>
      <c r="G1315" t="s">
        <v>795</v>
      </c>
      <c r="H1315" t="s">
        <v>1797</v>
      </c>
      <c r="I1315">
        <v>26.46</v>
      </c>
    </row>
    <row r="1316" spans="1:9" ht="12.75">
      <c r="A1316">
        <v>1311</v>
      </c>
      <c r="B1316" t="s">
        <v>1796</v>
      </c>
      <c r="C1316" t="s">
        <v>2830</v>
      </c>
      <c r="D1316" t="s">
        <v>2780</v>
      </c>
      <c r="E1316" t="s">
        <v>2781</v>
      </c>
      <c r="F1316" t="str">
        <f>"288/329"</f>
        <v>288/329</v>
      </c>
      <c r="G1316" t="s">
        <v>795</v>
      </c>
      <c r="H1316" t="s">
        <v>1798</v>
      </c>
      <c r="I1316">
        <v>26.45</v>
      </c>
    </row>
    <row r="1317" spans="1:9" ht="12.75">
      <c r="A1317">
        <v>1312</v>
      </c>
      <c r="B1317" t="s">
        <v>1799</v>
      </c>
      <c r="C1317" t="s">
        <v>2942</v>
      </c>
      <c r="D1317" t="s">
        <v>2780</v>
      </c>
      <c r="E1317" t="s">
        <v>2781</v>
      </c>
      <c r="F1317" t="str">
        <f>"289/329"</f>
        <v>289/329</v>
      </c>
      <c r="G1317" t="s">
        <v>3516</v>
      </c>
      <c r="H1317" t="s">
        <v>1800</v>
      </c>
      <c r="I1317">
        <v>26.45</v>
      </c>
    </row>
    <row r="1318" spans="1:9" ht="12.75">
      <c r="A1318">
        <v>1313</v>
      </c>
      <c r="B1318" t="s">
        <v>1796</v>
      </c>
      <c r="C1318" t="s">
        <v>3057</v>
      </c>
      <c r="D1318" t="s">
        <v>2780</v>
      </c>
      <c r="E1318" t="s">
        <v>3209</v>
      </c>
      <c r="F1318" t="str">
        <f>"34/62"</f>
        <v>34/62</v>
      </c>
      <c r="G1318" t="s">
        <v>795</v>
      </c>
      <c r="H1318" t="s">
        <v>1801</v>
      </c>
      <c r="I1318">
        <v>26.45</v>
      </c>
    </row>
    <row r="1319" spans="1:9" ht="12.75">
      <c r="A1319">
        <v>1314</v>
      </c>
      <c r="B1319" t="s">
        <v>1802</v>
      </c>
      <c r="C1319" t="s">
        <v>2865</v>
      </c>
      <c r="D1319" t="s">
        <v>2780</v>
      </c>
      <c r="E1319" t="s">
        <v>2823</v>
      </c>
      <c r="F1319" t="str">
        <f>"437/504"</f>
        <v>437/504</v>
      </c>
      <c r="G1319" t="s">
        <v>3011</v>
      </c>
      <c r="H1319" t="s">
        <v>1803</v>
      </c>
      <c r="I1319">
        <v>26.44</v>
      </c>
    </row>
    <row r="1320" spans="1:9" ht="12.75">
      <c r="A1320">
        <v>1315</v>
      </c>
      <c r="B1320" t="s">
        <v>1804</v>
      </c>
      <c r="C1320" t="s">
        <v>1805</v>
      </c>
      <c r="D1320" t="s">
        <v>2780</v>
      </c>
      <c r="E1320" t="s">
        <v>2973</v>
      </c>
      <c r="F1320" t="str">
        <f>"113/167"</f>
        <v>113/167</v>
      </c>
      <c r="G1320" t="s">
        <v>795</v>
      </c>
      <c r="H1320" t="s">
        <v>1806</v>
      </c>
      <c r="I1320">
        <v>26.44</v>
      </c>
    </row>
    <row r="1321" spans="1:9" ht="12.75">
      <c r="A1321">
        <v>1316</v>
      </c>
      <c r="B1321" t="s">
        <v>1807</v>
      </c>
      <c r="C1321" t="s">
        <v>3286</v>
      </c>
      <c r="D1321" t="s">
        <v>2780</v>
      </c>
      <c r="E1321" t="s">
        <v>2818</v>
      </c>
      <c r="F1321" t="str">
        <f>"227/307"</f>
        <v>227/307</v>
      </c>
      <c r="G1321" t="s">
        <v>795</v>
      </c>
      <c r="H1321" t="s">
        <v>1808</v>
      </c>
      <c r="I1321">
        <v>26.43</v>
      </c>
    </row>
    <row r="1322" spans="1:9" ht="12.75">
      <c r="A1322">
        <v>1317</v>
      </c>
      <c r="B1322" t="s">
        <v>1809</v>
      </c>
      <c r="C1322" t="s">
        <v>2807</v>
      </c>
      <c r="D1322" t="s">
        <v>2780</v>
      </c>
      <c r="E1322" t="s">
        <v>3209</v>
      </c>
      <c r="F1322" t="str">
        <f>"35/62"</f>
        <v>35/62</v>
      </c>
      <c r="G1322" t="s">
        <v>0</v>
      </c>
      <c r="H1322" t="s">
        <v>1810</v>
      </c>
      <c r="I1322">
        <v>26.43</v>
      </c>
    </row>
    <row r="1323" spans="1:9" ht="12.75">
      <c r="A1323">
        <v>1318</v>
      </c>
      <c r="B1323" t="s">
        <v>1811</v>
      </c>
      <c r="C1323" t="s">
        <v>2951</v>
      </c>
      <c r="D1323" t="s">
        <v>2780</v>
      </c>
      <c r="E1323" t="s">
        <v>2781</v>
      </c>
      <c r="F1323" t="str">
        <f>"290/329"</f>
        <v>290/329</v>
      </c>
      <c r="G1323" t="s">
        <v>3516</v>
      </c>
      <c r="H1323" t="s">
        <v>1812</v>
      </c>
      <c r="I1323">
        <v>26.41</v>
      </c>
    </row>
    <row r="1324" spans="1:9" ht="12.75">
      <c r="A1324">
        <v>1319</v>
      </c>
      <c r="B1324" t="s">
        <v>1813</v>
      </c>
      <c r="C1324" t="s">
        <v>2807</v>
      </c>
      <c r="D1324" t="s">
        <v>2780</v>
      </c>
      <c r="E1324" t="s">
        <v>2823</v>
      </c>
      <c r="F1324" t="str">
        <f>"438/504"</f>
        <v>438/504</v>
      </c>
      <c r="G1324" t="s">
        <v>3070</v>
      </c>
      <c r="H1324" t="s">
        <v>1814</v>
      </c>
      <c r="I1324">
        <v>26.4</v>
      </c>
    </row>
    <row r="1325" spans="1:9" ht="12.75">
      <c r="A1325">
        <v>1320</v>
      </c>
      <c r="B1325" t="s">
        <v>1815</v>
      </c>
      <c r="C1325" t="s">
        <v>1160</v>
      </c>
      <c r="D1325" t="s">
        <v>2780</v>
      </c>
      <c r="E1325" t="s">
        <v>2823</v>
      </c>
      <c r="F1325" t="str">
        <f>"439/504"</f>
        <v>439/504</v>
      </c>
      <c r="G1325" t="s">
        <v>1816</v>
      </c>
      <c r="H1325" t="s">
        <v>1817</v>
      </c>
      <c r="I1325">
        <v>26.4</v>
      </c>
    </row>
    <row r="1326" spans="1:9" ht="12.75">
      <c r="A1326">
        <v>1321</v>
      </c>
      <c r="B1326" t="s">
        <v>1818</v>
      </c>
      <c r="C1326" t="s">
        <v>3633</v>
      </c>
      <c r="D1326" t="s">
        <v>2780</v>
      </c>
      <c r="E1326" t="s">
        <v>2818</v>
      </c>
      <c r="F1326" t="str">
        <f>"228/307"</f>
        <v>228/307</v>
      </c>
      <c r="G1326" t="s">
        <v>1819</v>
      </c>
      <c r="H1326" t="s">
        <v>1820</v>
      </c>
      <c r="I1326">
        <v>26.37</v>
      </c>
    </row>
    <row r="1327" spans="1:9" ht="12.75">
      <c r="A1327">
        <v>1322</v>
      </c>
      <c r="B1327" t="s">
        <v>1821</v>
      </c>
      <c r="C1327" t="s">
        <v>2830</v>
      </c>
      <c r="D1327" t="s">
        <v>2780</v>
      </c>
      <c r="E1327" t="s">
        <v>2823</v>
      </c>
      <c r="F1327" t="str">
        <f>"440/504"</f>
        <v>440/504</v>
      </c>
      <c r="G1327" t="s">
        <v>4966</v>
      </c>
      <c r="H1327" t="s">
        <v>1822</v>
      </c>
      <c r="I1327">
        <v>26.36</v>
      </c>
    </row>
    <row r="1328" spans="1:9" ht="12.75">
      <c r="A1328">
        <v>1323</v>
      </c>
      <c r="B1328" t="s">
        <v>1823</v>
      </c>
      <c r="C1328" t="s">
        <v>2840</v>
      </c>
      <c r="D1328" t="s">
        <v>2780</v>
      </c>
      <c r="E1328" t="s">
        <v>2973</v>
      </c>
      <c r="F1328" t="str">
        <f>"114/167"</f>
        <v>114/167</v>
      </c>
      <c r="G1328" t="s">
        <v>5419</v>
      </c>
      <c r="H1328" t="s">
        <v>1824</v>
      </c>
      <c r="I1328">
        <v>26.35</v>
      </c>
    </row>
    <row r="1329" spans="1:9" ht="12.75">
      <c r="A1329">
        <v>1324</v>
      </c>
      <c r="B1329" t="s">
        <v>3539</v>
      </c>
      <c r="C1329" t="s">
        <v>2895</v>
      </c>
      <c r="D1329" t="s">
        <v>2780</v>
      </c>
      <c r="E1329" t="s">
        <v>2781</v>
      </c>
      <c r="F1329" t="str">
        <f>"291/329"</f>
        <v>291/329</v>
      </c>
      <c r="G1329" t="s">
        <v>5419</v>
      </c>
      <c r="H1329" t="s">
        <v>1825</v>
      </c>
      <c r="I1329">
        <v>26.35</v>
      </c>
    </row>
    <row r="1330" spans="1:9" ht="12.75">
      <c r="A1330">
        <v>1325</v>
      </c>
      <c r="B1330" t="s">
        <v>3378</v>
      </c>
      <c r="C1330" t="s">
        <v>1826</v>
      </c>
      <c r="D1330" t="s">
        <v>3031</v>
      </c>
      <c r="E1330" t="s">
        <v>3244</v>
      </c>
      <c r="F1330" t="str">
        <f>"30/63"</f>
        <v>30/63</v>
      </c>
      <c r="G1330" t="s">
        <v>1827</v>
      </c>
      <c r="H1330" t="s">
        <v>1828</v>
      </c>
      <c r="I1330">
        <v>26.34</v>
      </c>
    </row>
    <row r="1331" spans="1:9" ht="12.75">
      <c r="A1331">
        <v>1326</v>
      </c>
      <c r="B1331" t="s">
        <v>1829</v>
      </c>
      <c r="C1331" t="s">
        <v>1830</v>
      </c>
      <c r="D1331" t="s">
        <v>2780</v>
      </c>
      <c r="E1331" t="s">
        <v>2973</v>
      </c>
      <c r="F1331" t="str">
        <f>"115/167"</f>
        <v>115/167</v>
      </c>
      <c r="G1331" t="s">
        <v>3640</v>
      </c>
      <c r="H1331" t="s">
        <v>1831</v>
      </c>
      <c r="I1331">
        <v>26.33</v>
      </c>
    </row>
    <row r="1332" spans="1:9" ht="12.75">
      <c r="A1332">
        <v>1327</v>
      </c>
      <c r="B1332" t="s">
        <v>1832</v>
      </c>
      <c r="C1332" t="s">
        <v>2942</v>
      </c>
      <c r="D1332" t="s">
        <v>2780</v>
      </c>
      <c r="E1332" t="s">
        <v>2973</v>
      </c>
      <c r="F1332" t="str">
        <f>"116/167"</f>
        <v>116/167</v>
      </c>
      <c r="G1332" t="s">
        <v>2889</v>
      </c>
      <c r="H1332" t="s">
        <v>1833</v>
      </c>
      <c r="I1332">
        <v>26.33</v>
      </c>
    </row>
    <row r="1333" spans="1:9" ht="12.75">
      <c r="A1333">
        <v>1328</v>
      </c>
      <c r="B1333" t="s">
        <v>1830</v>
      </c>
      <c r="C1333" t="s">
        <v>353</v>
      </c>
      <c r="D1333" t="s">
        <v>2780</v>
      </c>
      <c r="E1333" t="s">
        <v>2818</v>
      </c>
      <c r="F1333" t="str">
        <f>"229/307"</f>
        <v>229/307</v>
      </c>
      <c r="G1333" t="s">
        <v>1834</v>
      </c>
      <c r="H1333" t="s">
        <v>1835</v>
      </c>
      <c r="I1333">
        <v>26.31</v>
      </c>
    </row>
    <row r="1334" spans="1:9" ht="12.75">
      <c r="A1334">
        <v>1329</v>
      </c>
      <c r="B1334" t="s">
        <v>1836</v>
      </c>
      <c r="C1334" t="s">
        <v>401</v>
      </c>
      <c r="D1334" t="s">
        <v>2780</v>
      </c>
      <c r="E1334" t="s">
        <v>2818</v>
      </c>
      <c r="F1334" t="str">
        <f>"230/307"</f>
        <v>230/307</v>
      </c>
      <c r="G1334" t="s">
        <v>1837</v>
      </c>
      <c r="H1334" t="s">
        <v>1838</v>
      </c>
      <c r="I1334">
        <v>26.3</v>
      </c>
    </row>
    <row r="1335" spans="1:9" ht="12.75">
      <c r="A1335">
        <v>1330</v>
      </c>
      <c r="B1335" t="s">
        <v>1839</v>
      </c>
      <c r="C1335" t="s">
        <v>1840</v>
      </c>
      <c r="D1335" t="s">
        <v>3031</v>
      </c>
      <c r="E1335" t="s">
        <v>3244</v>
      </c>
      <c r="F1335" t="str">
        <f>"31/63"</f>
        <v>31/63</v>
      </c>
      <c r="G1335" t="s">
        <v>2994</v>
      </c>
      <c r="H1335" t="s">
        <v>1841</v>
      </c>
      <c r="I1335">
        <v>26.29</v>
      </c>
    </row>
    <row r="1336" spans="1:9" ht="12.75">
      <c r="A1336">
        <v>1331</v>
      </c>
      <c r="B1336" t="s">
        <v>1842</v>
      </c>
      <c r="C1336" t="s">
        <v>3464</v>
      </c>
      <c r="D1336" t="s">
        <v>2780</v>
      </c>
      <c r="E1336" t="s">
        <v>2823</v>
      </c>
      <c r="F1336" t="str">
        <f>"441/504"</f>
        <v>441/504</v>
      </c>
      <c r="G1336" t="s">
        <v>1843</v>
      </c>
      <c r="H1336" t="s">
        <v>1844</v>
      </c>
      <c r="I1336">
        <v>26.29</v>
      </c>
    </row>
    <row r="1337" spans="1:9" ht="12.75">
      <c r="A1337">
        <v>1332</v>
      </c>
      <c r="B1337" t="s">
        <v>1845</v>
      </c>
      <c r="C1337" t="s">
        <v>137</v>
      </c>
      <c r="D1337" t="s">
        <v>2780</v>
      </c>
      <c r="E1337" t="s">
        <v>2823</v>
      </c>
      <c r="F1337" t="str">
        <f>"443/504"</f>
        <v>443/504</v>
      </c>
      <c r="G1337" t="s">
        <v>3543</v>
      </c>
      <c r="H1337" t="s">
        <v>1846</v>
      </c>
      <c r="I1337">
        <v>26.29</v>
      </c>
    </row>
    <row r="1338" spans="1:9" ht="12.75">
      <c r="A1338">
        <v>1333</v>
      </c>
      <c r="B1338" t="s">
        <v>1847</v>
      </c>
      <c r="C1338" t="s">
        <v>5356</v>
      </c>
      <c r="D1338" t="s">
        <v>2780</v>
      </c>
      <c r="E1338" t="s">
        <v>2823</v>
      </c>
      <c r="F1338" t="str">
        <f>"442/504"</f>
        <v>442/504</v>
      </c>
      <c r="G1338" t="s">
        <v>3060</v>
      </c>
      <c r="H1338" t="s">
        <v>1846</v>
      </c>
      <c r="I1338">
        <v>26.29</v>
      </c>
    </row>
    <row r="1339" spans="1:9" ht="12.75">
      <c r="A1339">
        <v>1334</v>
      </c>
      <c r="B1339" t="s">
        <v>1848</v>
      </c>
      <c r="C1339" t="s">
        <v>2942</v>
      </c>
      <c r="D1339" t="s">
        <v>2780</v>
      </c>
      <c r="E1339" t="s">
        <v>2818</v>
      </c>
      <c r="F1339" t="str">
        <f>"231/307"</f>
        <v>231/307</v>
      </c>
      <c r="G1339" t="s">
        <v>1849</v>
      </c>
      <c r="H1339" t="s">
        <v>1850</v>
      </c>
      <c r="I1339">
        <v>26.29</v>
      </c>
    </row>
    <row r="1340" spans="1:9" ht="12.75">
      <c r="A1340">
        <v>1335</v>
      </c>
      <c r="B1340" t="s">
        <v>1851</v>
      </c>
      <c r="C1340" t="s">
        <v>2779</v>
      </c>
      <c r="D1340" t="s">
        <v>2780</v>
      </c>
      <c r="E1340" t="s">
        <v>2823</v>
      </c>
      <c r="F1340" t="str">
        <f>"444/504"</f>
        <v>444/504</v>
      </c>
      <c r="G1340" t="s">
        <v>1849</v>
      </c>
      <c r="H1340" t="s">
        <v>1852</v>
      </c>
      <c r="I1340">
        <v>26.29</v>
      </c>
    </row>
    <row r="1341" spans="1:9" ht="12.75">
      <c r="A1341">
        <v>1336</v>
      </c>
      <c r="B1341" t="s">
        <v>3195</v>
      </c>
      <c r="C1341" t="s">
        <v>1744</v>
      </c>
      <c r="D1341" t="s">
        <v>2780</v>
      </c>
      <c r="E1341" t="s">
        <v>2818</v>
      </c>
      <c r="F1341" t="str">
        <f>"232/307"</f>
        <v>232/307</v>
      </c>
      <c r="G1341" t="s">
        <v>59</v>
      </c>
      <c r="H1341" t="s">
        <v>1853</v>
      </c>
      <c r="I1341">
        <v>26.28</v>
      </c>
    </row>
    <row r="1342" spans="1:9" ht="12.75">
      <c r="A1342">
        <v>1337</v>
      </c>
      <c r="B1342" t="s">
        <v>1854</v>
      </c>
      <c r="C1342" t="s">
        <v>4894</v>
      </c>
      <c r="D1342" t="s">
        <v>2780</v>
      </c>
      <c r="E1342" t="s">
        <v>2973</v>
      </c>
      <c r="F1342" t="str">
        <f>"117/167"</f>
        <v>117/167</v>
      </c>
      <c r="G1342" t="s">
        <v>188</v>
      </c>
      <c r="H1342" t="s">
        <v>1855</v>
      </c>
      <c r="I1342">
        <v>26.27</v>
      </c>
    </row>
    <row r="1343" spans="1:9" ht="12.75">
      <c r="A1343">
        <v>1338</v>
      </c>
      <c r="B1343" t="s">
        <v>1856</v>
      </c>
      <c r="C1343" t="s">
        <v>1857</v>
      </c>
      <c r="D1343" t="s">
        <v>2780</v>
      </c>
      <c r="E1343" t="s">
        <v>2923</v>
      </c>
      <c r="F1343" t="str">
        <f>"7/7"</f>
        <v>7/7</v>
      </c>
      <c r="G1343" t="s">
        <v>188</v>
      </c>
      <c r="H1343" t="s">
        <v>1858</v>
      </c>
      <c r="I1343">
        <v>26.26</v>
      </c>
    </row>
    <row r="1344" spans="1:9" ht="12.75">
      <c r="A1344">
        <v>1339</v>
      </c>
      <c r="B1344" t="s">
        <v>1859</v>
      </c>
      <c r="C1344" t="s">
        <v>2817</v>
      </c>
      <c r="D1344" t="s">
        <v>2780</v>
      </c>
      <c r="E1344" t="s">
        <v>2818</v>
      </c>
      <c r="F1344" t="str">
        <f>"233/307"</f>
        <v>233/307</v>
      </c>
      <c r="G1344" t="s">
        <v>188</v>
      </c>
      <c r="H1344" t="s">
        <v>1860</v>
      </c>
      <c r="I1344">
        <v>26.26</v>
      </c>
    </row>
    <row r="1345" spans="1:9" ht="12.75">
      <c r="A1345">
        <v>1340</v>
      </c>
      <c r="B1345" t="s">
        <v>1861</v>
      </c>
      <c r="C1345" t="s">
        <v>137</v>
      </c>
      <c r="D1345" t="s">
        <v>2780</v>
      </c>
      <c r="E1345" t="s">
        <v>2818</v>
      </c>
      <c r="F1345" t="str">
        <f>"234/307"</f>
        <v>234/307</v>
      </c>
      <c r="G1345" t="s">
        <v>3428</v>
      </c>
      <c r="H1345" t="s">
        <v>1862</v>
      </c>
      <c r="I1345">
        <v>26.26</v>
      </c>
    </row>
    <row r="1346" spans="1:9" ht="12.75">
      <c r="A1346">
        <v>1341</v>
      </c>
      <c r="B1346" t="s">
        <v>3191</v>
      </c>
      <c r="C1346" t="s">
        <v>2942</v>
      </c>
      <c r="D1346" t="s">
        <v>2780</v>
      </c>
      <c r="E1346" t="s">
        <v>2823</v>
      </c>
      <c r="F1346" t="str">
        <f>"445/504"</f>
        <v>445/504</v>
      </c>
      <c r="G1346" t="s">
        <v>188</v>
      </c>
      <c r="H1346" t="s">
        <v>1863</v>
      </c>
      <c r="I1346">
        <v>26.25</v>
      </c>
    </row>
    <row r="1347" spans="1:9" ht="12.75">
      <c r="A1347">
        <v>1342</v>
      </c>
      <c r="B1347" t="s">
        <v>535</v>
      </c>
      <c r="C1347" t="s">
        <v>2779</v>
      </c>
      <c r="D1347" t="s">
        <v>2780</v>
      </c>
      <c r="E1347" t="s">
        <v>2799</v>
      </c>
      <c r="F1347" t="str">
        <f>"88/99"</f>
        <v>88/99</v>
      </c>
      <c r="G1347" t="s">
        <v>1864</v>
      </c>
      <c r="H1347" t="s">
        <v>1865</v>
      </c>
      <c r="I1347">
        <v>26.24</v>
      </c>
    </row>
    <row r="1348" spans="1:9" ht="12.75">
      <c r="A1348">
        <v>1343</v>
      </c>
      <c r="B1348" t="s">
        <v>1866</v>
      </c>
      <c r="C1348" t="s">
        <v>5564</v>
      </c>
      <c r="D1348" t="s">
        <v>2780</v>
      </c>
      <c r="E1348" t="s">
        <v>2818</v>
      </c>
      <c r="F1348" t="str">
        <f>"235/307"</f>
        <v>235/307</v>
      </c>
      <c r="G1348" t="s">
        <v>553</v>
      </c>
      <c r="H1348" t="s">
        <v>1867</v>
      </c>
      <c r="I1348">
        <v>26.23</v>
      </c>
    </row>
    <row r="1349" spans="1:9" ht="12.75">
      <c r="A1349">
        <v>1344</v>
      </c>
      <c r="B1349" t="s">
        <v>1868</v>
      </c>
      <c r="C1349" t="s">
        <v>696</v>
      </c>
      <c r="D1349" t="s">
        <v>2780</v>
      </c>
      <c r="E1349" t="s">
        <v>2781</v>
      </c>
      <c r="F1349" t="str">
        <f>"292/329"</f>
        <v>292/329</v>
      </c>
      <c r="G1349" t="s">
        <v>1869</v>
      </c>
      <c r="H1349" t="s">
        <v>1870</v>
      </c>
      <c r="I1349">
        <v>26.21</v>
      </c>
    </row>
    <row r="1350" spans="1:9" ht="12.75">
      <c r="A1350">
        <v>1345</v>
      </c>
      <c r="B1350" t="s">
        <v>1871</v>
      </c>
      <c r="C1350" t="s">
        <v>1872</v>
      </c>
      <c r="D1350" t="s">
        <v>2780</v>
      </c>
      <c r="E1350" t="s">
        <v>2818</v>
      </c>
      <c r="F1350" t="str">
        <f>"236/307"</f>
        <v>236/307</v>
      </c>
      <c r="G1350" t="s">
        <v>3535</v>
      </c>
      <c r="H1350" t="s">
        <v>1873</v>
      </c>
      <c r="I1350">
        <v>26.21</v>
      </c>
    </row>
    <row r="1351" spans="1:9" ht="12.75">
      <c r="A1351">
        <v>1346</v>
      </c>
      <c r="B1351" t="s">
        <v>1874</v>
      </c>
      <c r="C1351" t="s">
        <v>2798</v>
      </c>
      <c r="D1351" t="s">
        <v>2780</v>
      </c>
      <c r="E1351" t="s">
        <v>2818</v>
      </c>
      <c r="F1351" t="str">
        <f>"237/307"</f>
        <v>237/307</v>
      </c>
      <c r="G1351" t="s">
        <v>1875</v>
      </c>
      <c r="H1351" t="s">
        <v>1876</v>
      </c>
      <c r="I1351">
        <v>26.19</v>
      </c>
    </row>
    <row r="1352" spans="1:9" ht="12.75">
      <c r="A1352">
        <v>1347</v>
      </c>
      <c r="B1352" t="s">
        <v>1877</v>
      </c>
      <c r="C1352" t="s">
        <v>256</v>
      </c>
      <c r="D1352" t="s">
        <v>2780</v>
      </c>
      <c r="E1352" t="s">
        <v>2973</v>
      </c>
      <c r="F1352" t="str">
        <f>"118/167"</f>
        <v>118/167</v>
      </c>
      <c r="G1352" t="s">
        <v>1878</v>
      </c>
      <c r="H1352" t="s">
        <v>1879</v>
      </c>
      <c r="I1352">
        <v>26.19</v>
      </c>
    </row>
    <row r="1353" spans="1:9" ht="12.75">
      <c r="A1353">
        <v>1348</v>
      </c>
      <c r="B1353" t="s">
        <v>1880</v>
      </c>
      <c r="C1353" t="s">
        <v>3114</v>
      </c>
      <c r="D1353" t="s">
        <v>2780</v>
      </c>
      <c r="E1353" t="s">
        <v>2818</v>
      </c>
      <c r="F1353" t="str">
        <f>"238/307"</f>
        <v>238/307</v>
      </c>
      <c r="G1353" t="s">
        <v>1881</v>
      </c>
      <c r="H1353" t="s">
        <v>1882</v>
      </c>
      <c r="I1353">
        <v>26.18</v>
      </c>
    </row>
    <row r="1354" spans="1:9" ht="12.75">
      <c r="A1354">
        <v>1349</v>
      </c>
      <c r="B1354" t="s">
        <v>1711</v>
      </c>
      <c r="C1354" t="s">
        <v>3438</v>
      </c>
      <c r="D1354" t="s">
        <v>2780</v>
      </c>
      <c r="E1354" t="s">
        <v>2818</v>
      </c>
      <c r="F1354" t="str">
        <f>"239/307"</f>
        <v>239/307</v>
      </c>
      <c r="G1354" t="s">
        <v>294</v>
      </c>
      <c r="H1354" t="s">
        <v>1883</v>
      </c>
      <c r="I1354">
        <v>26.17</v>
      </c>
    </row>
    <row r="1355" spans="1:9" ht="12.75">
      <c r="A1355">
        <v>1350</v>
      </c>
      <c r="B1355" t="s">
        <v>1884</v>
      </c>
      <c r="C1355" t="s">
        <v>1885</v>
      </c>
      <c r="D1355" t="s">
        <v>2780</v>
      </c>
      <c r="E1355" t="s">
        <v>2823</v>
      </c>
      <c r="F1355" t="str">
        <f>"446/504"</f>
        <v>446/504</v>
      </c>
      <c r="G1355" t="s">
        <v>1819</v>
      </c>
      <c r="H1355" t="s">
        <v>1886</v>
      </c>
      <c r="I1355">
        <v>26.16</v>
      </c>
    </row>
    <row r="1356" spans="1:9" ht="12.75">
      <c r="A1356">
        <v>1351</v>
      </c>
      <c r="B1356" t="s">
        <v>1887</v>
      </c>
      <c r="C1356" t="s">
        <v>401</v>
      </c>
      <c r="D1356" t="s">
        <v>2780</v>
      </c>
      <c r="E1356" t="s">
        <v>2973</v>
      </c>
      <c r="F1356" t="str">
        <f>"119/167"</f>
        <v>119/167</v>
      </c>
      <c r="G1356" t="s">
        <v>1888</v>
      </c>
      <c r="H1356" t="s">
        <v>1889</v>
      </c>
      <c r="I1356">
        <v>26.16</v>
      </c>
    </row>
    <row r="1357" spans="1:9" ht="12.75">
      <c r="A1357">
        <v>1352</v>
      </c>
      <c r="B1357" t="s">
        <v>1890</v>
      </c>
      <c r="C1357" t="s">
        <v>1891</v>
      </c>
      <c r="D1357" t="s">
        <v>3031</v>
      </c>
      <c r="E1357" t="s">
        <v>3244</v>
      </c>
      <c r="F1357" t="str">
        <f>"32/63"</f>
        <v>32/63</v>
      </c>
      <c r="G1357" t="s">
        <v>1819</v>
      </c>
      <c r="H1357" t="s">
        <v>1892</v>
      </c>
      <c r="I1357">
        <v>26.16</v>
      </c>
    </row>
    <row r="1358" spans="1:9" ht="12.75">
      <c r="A1358">
        <v>1353</v>
      </c>
      <c r="B1358" t="s">
        <v>1893</v>
      </c>
      <c r="C1358" t="s">
        <v>2914</v>
      </c>
      <c r="D1358" t="s">
        <v>2780</v>
      </c>
      <c r="E1358" t="s">
        <v>2781</v>
      </c>
      <c r="F1358" t="str">
        <f>"293/329"</f>
        <v>293/329</v>
      </c>
      <c r="G1358" t="s">
        <v>5090</v>
      </c>
      <c r="H1358" t="s">
        <v>1894</v>
      </c>
      <c r="I1358">
        <v>26.14</v>
      </c>
    </row>
    <row r="1359" spans="1:9" ht="12.75">
      <c r="A1359">
        <v>1354</v>
      </c>
      <c r="B1359" t="s">
        <v>1895</v>
      </c>
      <c r="C1359" t="s">
        <v>191</v>
      </c>
      <c r="D1359" t="s">
        <v>2780</v>
      </c>
      <c r="E1359" t="s">
        <v>2781</v>
      </c>
      <c r="F1359" t="str">
        <f>"294/329"</f>
        <v>294/329</v>
      </c>
      <c r="G1359" t="s">
        <v>1896</v>
      </c>
      <c r="H1359" t="s">
        <v>1897</v>
      </c>
      <c r="I1359">
        <v>26.14</v>
      </c>
    </row>
    <row r="1360" spans="1:9" ht="12.75">
      <c r="A1360">
        <v>1355</v>
      </c>
      <c r="B1360" t="s">
        <v>1898</v>
      </c>
      <c r="C1360" t="s">
        <v>3286</v>
      </c>
      <c r="D1360" t="s">
        <v>2780</v>
      </c>
      <c r="E1360" t="s">
        <v>2973</v>
      </c>
      <c r="F1360" t="str">
        <f>"120/167"</f>
        <v>120/167</v>
      </c>
      <c r="G1360" t="s">
        <v>5549</v>
      </c>
      <c r="H1360" t="s">
        <v>1899</v>
      </c>
      <c r="I1360">
        <v>26.11</v>
      </c>
    </row>
    <row r="1361" spans="1:9" ht="12.75">
      <c r="A1361">
        <v>1356</v>
      </c>
      <c r="B1361" t="s">
        <v>1900</v>
      </c>
      <c r="C1361" t="s">
        <v>2895</v>
      </c>
      <c r="D1361" t="s">
        <v>2780</v>
      </c>
      <c r="E1361" t="s">
        <v>2823</v>
      </c>
      <c r="F1361" t="str">
        <f>"447/504"</f>
        <v>447/504</v>
      </c>
      <c r="G1361" t="s">
        <v>1901</v>
      </c>
      <c r="H1361" t="s">
        <v>1902</v>
      </c>
      <c r="I1361">
        <v>26.1</v>
      </c>
    </row>
    <row r="1362" spans="1:9" ht="12.75">
      <c r="A1362">
        <v>1357</v>
      </c>
      <c r="B1362" t="s">
        <v>1903</v>
      </c>
      <c r="C1362" t="s">
        <v>54</v>
      </c>
      <c r="D1362" t="s">
        <v>2780</v>
      </c>
      <c r="E1362" t="s">
        <v>3209</v>
      </c>
      <c r="F1362" t="str">
        <f>"36/62"</f>
        <v>36/62</v>
      </c>
      <c r="G1362" t="s">
        <v>3303</v>
      </c>
      <c r="H1362" t="s">
        <v>1904</v>
      </c>
      <c r="I1362">
        <v>26.09</v>
      </c>
    </row>
    <row r="1363" spans="1:9" ht="12.75">
      <c r="A1363">
        <v>1358</v>
      </c>
      <c r="B1363" t="s">
        <v>3302</v>
      </c>
      <c r="C1363" t="s">
        <v>2966</v>
      </c>
      <c r="D1363" t="s">
        <v>2780</v>
      </c>
      <c r="E1363" t="s">
        <v>2818</v>
      </c>
      <c r="F1363" t="str">
        <f>"240/307"</f>
        <v>240/307</v>
      </c>
      <c r="G1363" t="s">
        <v>3303</v>
      </c>
      <c r="H1363" t="s">
        <v>1905</v>
      </c>
      <c r="I1363">
        <v>26.09</v>
      </c>
    </row>
    <row r="1364" spans="1:9" ht="12.75">
      <c r="A1364">
        <v>1359</v>
      </c>
      <c r="B1364" t="s">
        <v>1906</v>
      </c>
      <c r="C1364" t="s">
        <v>2895</v>
      </c>
      <c r="D1364" t="s">
        <v>2780</v>
      </c>
      <c r="E1364" t="s">
        <v>2781</v>
      </c>
      <c r="F1364" t="str">
        <f>"295/329"</f>
        <v>295/329</v>
      </c>
      <c r="G1364" t="s">
        <v>1907</v>
      </c>
      <c r="H1364" t="s">
        <v>1908</v>
      </c>
      <c r="I1364">
        <v>26.09</v>
      </c>
    </row>
    <row r="1365" spans="1:9" ht="12.75">
      <c r="A1365">
        <v>1360</v>
      </c>
      <c r="B1365" t="s">
        <v>3302</v>
      </c>
      <c r="C1365" t="s">
        <v>3406</v>
      </c>
      <c r="D1365" t="s">
        <v>2780</v>
      </c>
      <c r="E1365" t="s">
        <v>2823</v>
      </c>
      <c r="F1365" t="str">
        <f>"448/504"</f>
        <v>448/504</v>
      </c>
      <c r="G1365" t="s">
        <v>3303</v>
      </c>
      <c r="H1365" t="s">
        <v>1909</v>
      </c>
      <c r="I1365">
        <v>26.09</v>
      </c>
    </row>
    <row r="1366" spans="1:9" ht="12.75">
      <c r="A1366">
        <v>1361</v>
      </c>
      <c r="B1366" t="s">
        <v>1910</v>
      </c>
      <c r="C1366" t="s">
        <v>1911</v>
      </c>
      <c r="D1366" t="s">
        <v>2780</v>
      </c>
      <c r="E1366" t="s">
        <v>2973</v>
      </c>
      <c r="F1366" t="str">
        <f>"121/167"</f>
        <v>121/167</v>
      </c>
      <c r="G1366" t="s">
        <v>3303</v>
      </c>
      <c r="H1366" t="s">
        <v>1912</v>
      </c>
      <c r="I1366">
        <v>26.07</v>
      </c>
    </row>
    <row r="1367" spans="1:9" ht="12.75">
      <c r="A1367">
        <v>1362</v>
      </c>
      <c r="B1367" t="s">
        <v>5051</v>
      </c>
      <c r="C1367" t="s">
        <v>2817</v>
      </c>
      <c r="D1367" t="s">
        <v>2780</v>
      </c>
      <c r="E1367" t="s">
        <v>2973</v>
      </c>
      <c r="F1367" t="str">
        <f>"122/167"</f>
        <v>122/167</v>
      </c>
      <c r="G1367" t="s">
        <v>3303</v>
      </c>
      <c r="H1367" t="s">
        <v>1913</v>
      </c>
      <c r="I1367">
        <v>26.07</v>
      </c>
    </row>
    <row r="1368" spans="1:9" ht="12.75">
      <c r="A1368">
        <v>1363</v>
      </c>
      <c r="B1368" t="s">
        <v>1914</v>
      </c>
      <c r="C1368" t="s">
        <v>2836</v>
      </c>
      <c r="D1368" t="s">
        <v>2780</v>
      </c>
      <c r="E1368" t="s">
        <v>2823</v>
      </c>
      <c r="F1368" t="str">
        <f>"449/504"</f>
        <v>449/504</v>
      </c>
      <c r="G1368" t="s">
        <v>3303</v>
      </c>
      <c r="H1368" t="s">
        <v>1915</v>
      </c>
      <c r="I1368">
        <v>26.07</v>
      </c>
    </row>
    <row r="1369" spans="1:9" ht="12.75">
      <c r="A1369">
        <v>1364</v>
      </c>
      <c r="B1369" t="s">
        <v>1916</v>
      </c>
      <c r="C1369" t="s">
        <v>3114</v>
      </c>
      <c r="D1369" t="s">
        <v>2780</v>
      </c>
      <c r="E1369" t="s">
        <v>2823</v>
      </c>
      <c r="F1369" t="str">
        <f>"450/504"</f>
        <v>450/504</v>
      </c>
      <c r="G1369" t="s">
        <v>3303</v>
      </c>
      <c r="H1369" t="s">
        <v>1917</v>
      </c>
      <c r="I1369">
        <v>26.06</v>
      </c>
    </row>
    <row r="1370" spans="1:9" ht="12.75">
      <c r="A1370">
        <v>1365</v>
      </c>
      <c r="B1370" t="s">
        <v>1918</v>
      </c>
      <c r="C1370" t="s">
        <v>700</v>
      </c>
      <c r="D1370" t="s">
        <v>2780</v>
      </c>
      <c r="E1370" t="s">
        <v>2818</v>
      </c>
      <c r="F1370" t="str">
        <f>"241/307"</f>
        <v>241/307</v>
      </c>
      <c r="G1370" t="s">
        <v>3662</v>
      </c>
      <c r="H1370" t="s">
        <v>1919</v>
      </c>
      <c r="I1370">
        <v>26.06</v>
      </c>
    </row>
    <row r="1371" spans="1:9" ht="12.75">
      <c r="A1371">
        <v>1366</v>
      </c>
      <c r="B1371" t="s">
        <v>1920</v>
      </c>
      <c r="C1371" t="s">
        <v>1036</v>
      </c>
      <c r="D1371" t="s">
        <v>2780</v>
      </c>
      <c r="E1371" t="s">
        <v>2818</v>
      </c>
      <c r="F1371" t="str">
        <f>"242/307"</f>
        <v>242/307</v>
      </c>
      <c r="G1371" t="s">
        <v>5546</v>
      </c>
      <c r="H1371" t="s">
        <v>1921</v>
      </c>
      <c r="I1371">
        <v>26.05</v>
      </c>
    </row>
    <row r="1372" spans="1:9" ht="12.75">
      <c r="A1372">
        <v>1367</v>
      </c>
      <c r="B1372" t="s">
        <v>5477</v>
      </c>
      <c r="C1372" t="s">
        <v>1922</v>
      </c>
      <c r="D1372" t="s">
        <v>3031</v>
      </c>
      <c r="E1372" t="s">
        <v>3032</v>
      </c>
      <c r="F1372" t="str">
        <f>"37/54"</f>
        <v>37/54</v>
      </c>
      <c r="G1372" t="s">
        <v>3662</v>
      </c>
      <c r="H1372" t="s">
        <v>1923</v>
      </c>
      <c r="I1372">
        <v>26.05</v>
      </c>
    </row>
    <row r="1373" spans="1:9" ht="12.75">
      <c r="A1373">
        <v>1368</v>
      </c>
      <c r="B1373" t="s">
        <v>1924</v>
      </c>
      <c r="C1373" t="s">
        <v>2785</v>
      </c>
      <c r="D1373" t="s">
        <v>2780</v>
      </c>
      <c r="E1373" t="s">
        <v>2799</v>
      </c>
      <c r="F1373" t="str">
        <f>"89/99"</f>
        <v>89/99</v>
      </c>
      <c r="G1373" t="s">
        <v>1626</v>
      </c>
      <c r="H1373" t="s">
        <v>1925</v>
      </c>
      <c r="I1373">
        <v>26.04</v>
      </c>
    </row>
    <row r="1374" spans="1:9" ht="12.75">
      <c r="A1374">
        <v>1369</v>
      </c>
      <c r="B1374" t="s">
        <v>1926</v>
      </c>
      <c r="C1374" t="s">
        <v>353</v>
      </c>
      <c r="D1374" t="s">
        <v>2780</v>
      </c>
      <c r="E1374" t="s">
        <v>2818</v>
      </c>
      <c r="F1374" t="str">
        <f>"243/307"</f>
        <v>243/307</v>
      </c>
      <c r="G1374" t="s">
        <v>1878</v>
      </c>
      <c r="H1374" t="s">
        <v>1927</v>
      </c>
      <c r="I1374">
        <v>26.01</v>
      </c>
    </row>
    <row r="1375" spans="1:9" ht="12.75">
      <c r="A1375">
        <v>1370</v>
      </c>
      <c r="B1375" t="s">
        <v>1928</v>
      </c>
      <c r="C1375" t="s">
        <v>3141</v>
      </c>
      <c r="D1375" t="s">
        <v>2780</v>
      </c>
      <c r="E1375" t="s">
        <v>2823</v>
      </c>
      <c r="F1375" t="str">
        <f>"451/504"</f>
        <v>451/504</v>
      </c>
      <c r="G1375" t="s">
        <v>1929</v>
      </c>
      <c r="H1375" t="s">
        <v>1930</v>
      </c>
      <c r="I1375">
        <v>26.01</v>
      </c>
    </row>
    <row r="1376" spans="1:9" ht="12.75">
      <c r="A1376">
        <v>1371</v>
      </c>
      <c r="B1376" t="s">
        <v>1931</v>
      </c>
      <c r="C1376" t="s">
        <v>335</v>
      </c>
      <c r="D1376" t="s">
        <v>2780</v>
      </c>
      <c r="E1376" t="s">
        <v>2818</v>
      </c>
      <c r="F1376" t="str">
        <f>"244/307"</f>
        <v>244/307</v>
      </c>
      <c r="G1376" t="s">
        <v>3543</v>
      </c>
      <c r="H1376" t="s">
        <v>1932</v>
      </c>
      <c r="I1376">
        <v>26</v>
      </c>
    </row>
    <row r="1377" spans="1:9" ht="12.75">
      <c r="A1377">
        <v>1372</v>
      </c>
      <c r="B1377" t="s">
        <v>1933</v>
      </c>
      <c r="C1377" t="s">
        <v>1934</v>
      </c>
      <c r="D1377" t="s">
        <v>2780</v>
      </c>
      <c r="E1377" t="s">
        <v>3209</v>
      </c>
      <c r="F1377" t="str">
        <f>"37/62"</f>
        <v>37/62</v>
      </c>
      <c r="G1377" t="s">
        <v>3067</v>
      </c>
      <c r="H1377" t="s">
        <v>1935</v>
      </c>
      <c r="I1377">
        <v>26</v>
      </c>
    </row>
    <row r="1378" spans="1:9" ht="12.75">
      <c r="A1378">
        <v>1373</v>
      </c>
      <c r="B1378" t="s">
        <v>1936</v>
      </c>
      <c r="C1378" t="s">
        <v>3633</v>
      </c>
      <c r="D1378" t="s">
        <v>2780</v>
      </c>
      <c r="E1378" t="s">
        <v>2823</v>
      </c>
      <c r="F1378" t="str">
        <f>"452/504"</f>
        <v>452/504</v>
      </c>
      <c r="G1378" t="s">
        <v>5486</v>
      </c>
      <c r="H1378" t="s">
        <v>1937</v>
      </c>
      <c r="I1378">
        <v>25.98</v>
      </c>
    </row>
    <row r="1379" spans="1:9" ht="12.75">
      <c r="A1379">
        <v>1374</v>
      </c>
      <c r="B1379" t="s">
        <v>1938</v>
      </c>
      <c r="C1379" t="s">
        <v>3633</v>
      </c>
      <c r="D1379" t="s">
        <v>2780</v>
      </c>
      <c r="E1379" t="s">
        <v>3209</v>
      </c>
      <c r="F1379" t="str">
        <f>"38/62"</f>
        <v>38/62</v>
      </c>
      <c r="G1379" t="s">
        <v>3303</v>
      </c>
      <c r="H1379" t="s">
        <v>1939</v>
      </c>
      <c r="I1379">
        <v>25.98</v>
      </c>
    </row>
    <row r="1380" spans="1:9" ht="12.75">
      <c r="A1380">
        <v>1375</v>
      </c>
      <c r="B1380" t="s">
        <v>1940</v>
      </c>
      <c r="C1380" t="s">
        <v>2963</v>
      </c>
      <c r="D1380" t="s">
        <v>2780</v>
      </c>
      <c r="E1380" t="s">
        <v>2799</v>
      </c>
      <c r="F1380" t="str">
        <f>"90/99"</f>
        <v>90/99</v>
      </c>
      <c r="G1380" t="s">
        <v>795</v>
      </c>
      <c r="H1380" t="s">
        <v>1941</v>
      </c>
      <c r="I1380">
        <v>25.97</v>
      </c>
    </row>
    <row r="1381" spans="1:9" ht="12.75">
      <c r="A1381">
        <v>1376</v>
      </c>
      <c r="B1381" t="s">
        <v>1942</v>
      </c>
      <c r="C1381" t="s">
        <v>2836</v>
      </c>
      <c r="D1381" t="s">
        <v>2780</v>
      </c>
      <c r="E1381" t="s">
        <v>3209</v>
      </c>
      <c r="F1381" t="str">
        <f>"39/62"</f>
        <v>39/62</v>
      </c>
      <c r="G1381" t="s">
        <v>3303</v>
      </c>
      <c r="H1381" t="s">
        <v>1943</v>
      </c>
      <c r="I1381">
        <v>25.97</v>
      </c>
    </row>
    <row r="1382" spans="1:9" ht="12.75">
      <c r="A1382">
        <v>1377</v>
      </c>
      <c r="B1382" t="s">
        <v>1944</v>
      </c>
      <c r="C1382" t="s">
        <v>2814</v>
      </c>
      <c r="D1382" t="s">
        <v>2780</v>
      </c>
      <c r="E1382" t="s">
        <v>2823</v>
      </c>
      <c r="F1382" t="str">
        <f>"453/504"</f>
        <v>453/504</v>
      </c>
      <c r="G1382" t="s">
        <v>1045</v>
      </c>
      <c r="H1382" t="s">
        <v>1945</v>
      </c>
      <c r="I1382">
        <v>25.96</v>
      </c>
    </row>
    <row r="1383" spans="1:9" ht="12.75">
      <c r="A1383">
        <v>1378</v>
      </c>
      <c r="B1383" t="s">
        <v>1946</v>
      </c>
      <c r="C1383" t="s">
        <v>5044</v>
      </c>
      <c r="D1383" t="s">
        <v>2780</v>
      </c>
      <c r="E1383" t="s">
        <v>2818</v>
      </c>
      <c r="F1383" t="str">
        <f>"245/307"</f>
        <v>245/307</v>
      </c>
      <c r="G1383" t="s">
        <v>673</v>
      </c>
      <c r="H1383" t="s">
        <v>1947</v>
      </c>
      <c r="I1383">
        <v>25.96</v>
      </c>
    </row>
    <row r="1384" spans="1:9" ht="12.75">
      <c r="A1384">
        <v>1379</v>
      </c>
      <c r="B1384" t="s">
        <v>1948</v>
      </c>
      <c r="C1384" t="s">
        <v>353</v>
      </c>
      <c r="D1384" t="s">
        <v>2780</v>
      </c>
      <c r="E1384" t="s">
        <v>2823</v>
      </c>
      <c r="F1384" t="str">
        <f>"454/504"</f>
        <v>454/504</v>
      </c>
      <c r="G1384" t="s">
        <v>3428</v>
      </c>
      <c r="H1384" t="s">
        <v>1949</v>
      </c>
      <c r="I1384">
        <v>25.93</v>
      </c>
    </row>
    <row r="1385" spans="1:9" ht="12.75">
      <c r="A1385">
        <v>1380</v>
      </c>
      <c r="B1385" t="s">
        <v>1950</v>
      </c>
      <c r="C1385" t="s">
        <v>2865</v>
      </c>
      <c r="D1385" t="s">
        <v>2780</v>
      </c>
      <c r="E1385" t="s">
        <v>2823</v>
      </c>
      <c r="F1385" t="str">
        <f>"455/504"</f>
        <v>455/504</v>
      </c>
      <c r="G1385" t="s">
        <v>3428</v>
      </c>
      <c r="H1385" t="s">
        <v>1951</v>
      </c>
      <c r="I1385">
        <v>25.93</v>
      </c>
    </row>
    <row r="1386" spans="1:9" ht="12.75">
      <c r="A1386">
        <v>1381</v>
      </c>
      <c r="B1386" t="s">
        <v>3007</v>
      </c>
      <c r="C1386" t="s">
        <v>470</v>
      </c>
      <c r="D1386" t="s">
        <v>2780</v>
      </c>
      <c r="E1386" t="s">
        <v>2973</v>
      </c>
      <c r="F1386" t="str">
        <f>"123/167"</f>
        <v>123/167</v>
      </c>
      <c r="G1386" t="s">
        <v>188</v>
      </c>
      <c r="H1386" t="s">
        <v>1952</v>
      </c>
      <c r="I1386">
        <v>25.93</v>
      </c>
    </row>
    <row r="1387" spans="1:9" ht="12.75">
      <c r="A1387">
        <v>1382</v>
      </c>
      <c r="B1387" t="s">
        <v>3296</v>
      </c>
      <c r="C1387" t="s">
        <v>3346</v>
      </c>
      <c r="D1387" t="s">
        <v>2780</v>
      </c>
      <c r="E1387" t="s">
        <v>2818</v>
      </c>
      <c r="F1387" t="str">
        <f>"246/307"</f>
        <v>246/307</v>
      </c>
      <c r="G1387" t="s">
        <v>3428</v>
      </c>
      <c r="H1387" t="s">
        <v>1953</v>
      </c>
      <c r="I1387">
        <v>25.93</v>
      </c>
    </row>
    <row r="1388" spans="1:9" ht="12.75">
      <c r="A1388">
        <v>1383</v>
      </c>
      <c r="B1388" t="s">
        <v>1954</v>
      </c>
      <c r="C1388" t="s">
        <v>3286</v>
      </c>
      <c r="D1388" t="s">
        <v>2780</v>
      </c>
      <c r="E1388" t="s">
        <v>2818</v>
      </c>
      <c r="F1388" t="str">
        <f>"247/307"</f>
        <v>247/307</v>
      </c>
      <c r="G1388" t="s">
        <v>5419</v>
      </c>
      <c r="H1388" t="s">
        <v>1955</v>
      </c>
      <c r="I1388">
        <v>25.93</v>
      </c>
    </row>
    <row r="1389" spans="1:9" ht="12.75">
      <c r="A1389">
        <v>1384</v>
      </c>
      <c r="B1389" t="s">
        <v>1956</v>
      </c>
      <c r="C1389" t="s">
        <v>3098</v>
      </c>
      <c r="D1389" t="s">
        <v>2780</v>
      </c>
      <c r="E1389" t="s">
        <v>2973</v>
      </c>
      <c r="F1389" t="str">
        <f>"124/167"</f>
        <v>124/167</v>
      </c>
      <c r="G1389" t="s">
        <v>712</v>
      </c>
      <c r="H1389" t="s">
        <v>1957</v>
      </c>
      <c r="I1389">
        <v>25.92</v>
      </c>
    </row>
    <row r="1390" spans="1:9" ht="12.75">
      <c r="A1390">
        <v>1385</v>
      </c>
      <c r="B1390" t="s">
        <v>808</v>
      </c>
      <c r="C1390" t="s">
        <v>5149</v>
      </c>
      <c r="D1390" t="s">
        <v>2780</v>
      </c>
      <c r="E1390" t="s">
        <v>2818</v>
      </c>
      <c r="F1390" t="str">
        <f>"248/307"</f>
        <v>248/307</v>
      </c>
      <c r="G1390" t="s">
        <v>1958</v>
      </c>
      <c r="H1390" t="s">
        <v>1959</v>
      </c>
      <c r="I1390">
        <v>25.92</v>
      </c>
    </row>
    <row r="1391" spans="1:9" ht="12.75">
      <c r="A1391">
        <v>1386</v>
      </c>
      <c r="B1391" t="s">
        <v>1960</v>
      </c>
      <c r="C1391" t="s">
        <v>1961</v>
      </c>
      <c r="D1391" t="s">
        <v>2780</v>
      </c>
      <c r="E1391" t="s">
        <v>2973</v>
      </c>
      <c r="F1391" t="str">
        <f>"125/167"</f>
        <v>125/167</v>
      </c>
      <c r="G1391" t="s">
        <v>1962</v>
      </c>
      <c r="H1391" t="s">
        <v>1963</v>
      </c>
      <c r="I1391">
        <v>25.91</v>
      </c>
    </row>
    <row r="1392" spans="1:9" ht="12.75">
      <c r="A1392">
        <v>1387</v>
      </c>
      <c r="B1392" t="s">
        <v>3502</v>
      </c>
      <c r="C1392" t="s">
        <v>3123</v>
      </c>
      <c r="D1392" t="s">
        <v>2780</v>
      </c>
      <c r="E1392" t="s">
        <v>2823</v>
      </c>
      <c r="F1392" t="str">
        <f>"456/504"</f>
        <v>456/504</v>
      </c>
      <c r="G1392" t="s">
        <v>1962</v>
      </c>
      <c r="H1392" t="s">
        <v>1964</v>
      </c>
      <c r="I1392">
        <v>25.91</v>
      </c>
    </row>
    <row r="1393" spans="1:9" ht="12.75">
      <c r="A1393">
        <v>1388</v>
      </c>
      <c r="B1393" t="s">
        <v>3318</v>
      </c>
      <c r="C1393" t="s">
        <v>504</v>
      </c>
      <c r="D1393" t="s">
        <v>2780</v>
      </c>
      <c r="E1393" t="s">
        <v>2781</v>
      </c>
      <c r="F1393" t="str">
        <f>"296/329"</f>
        <v>296/329</v>
      </c>
      <c r="G1393" t="s">
        <v>3476</v>
      </c>
      <c r="H1393" t="s">
        <v>1965</v>
      </c>
      <c r="I1393">
        <v>25.89</v>
      </c>
    </row>
    <row r="1394" spans="1:9" ht="12.75">
      <c r="A1394">
        <v>1389</v>
      </c>
      <c r="B1394" t="s">
        <v>431</v>
      </c>
      <c r="C1394" t="s">
        <v>1966</v>
      </c>
      <c r="D1394" t="s">
        <v>2780</v>
      </c>
      <c r="E1394" t="s">
        <v>2823</v>
      </c>
      <c r="F1394" t="str">
        <f>"457/504"</f>
        <v>457/504</v>
      </c>
      <c r="G1394" t="s">
        <v>1967</v>
      </c>
      <c r="H1394" t="s">
        <v>1968</v>
      </c>
      <c r="I1394">
        <v>25.87</v>
      </c>
    </row>
    <row r="1395" spans="1:9" ht="12.75">
      <c r="A1395">
        <v>1390</v>
      </c>
      <c r="B1395" t="s">
        <v>1969</v>
      </c>
      <c r="C1395" t="s">
        <v>1970</v>
      </c>
      <c r="D1395" t="s">
        <v>2780</v>
      </c>
      <c r="E1395" t="s">
        <v>2786</v>
      </c>
      <c r="F1395" t="str">
        <f>"58/58"</f>
        <v>58/58</v>
      </c>
      <c r="G1395" t="s">
        <v>2889</v>
      </c>
      <c r="H1395" t="s">
        <v>1971</v>
      </c>
      <c r="I1395">
        <v>25.86</v>
      </c>
    </row>
    <row r="1396" spans="1:9" ht="12.75">
      <c r="A1396">
        <v>1391</v>
      </c>
      <c r="B1396" t="s">
        <v>1972</v>
      </c>
      <c r="C1396" t="s">
        <v>1973</v>
      </c>
      <c r="D1396" t="s">
        <v>3031</v>
      </c>
      <c r="E1396" t="s">
        <v>3032</v>
      </c>
      <c r="F1396" t="str">
        <f>"38/54"</f>
        <v>38/54</v>
      </c>
      <c r="G1396" t="s">
        <v>225</v>
      </c>
      <c r="H1396" t="s">
        <v>1974</v>
      </c>
      <c r="I1396">
        <v>25.86</v>
      </c>
    </row>
    <row r="1397" spans="1:9" ht="12.75">
      <c r="A1397">
        <v>1392</v>
      </c>
      <c r="B1397" t="s">
        <v>1975</v>
      </c>
      <c r="C1397" t="s">
        <v>1830</v>
      </c>
      <c r="D1397" t="s">
        <v>2780</v>
      </c>
      <c r="E1397" t="s">
        <v>2781</v>
      </c>
      <c r="F1397" t="str">
        <f>"297/329"</f>
        <v>297/329</v>
      </c>
      <c r="G1397" t="s">
        <v>2889</v>
      </c>
      <c r="H1397" t="s">
        <v>1976</v>
      </c>
      <c r="I1397">
        <v>25.85</v>
      </c>
    </row>
    <row r="1398" spans="1:9" ht="12.75">
      <c r="A1398">
        <v>1393</v>
      </c>
      <c r="B1398" t="s">
        <v>1977</v>
      </c>
      <c r="C1398" t="s">
        <v>2861</v>
      </c>
      <c r="D1398" t="s">
        <v>2780</v>
      </c>
      <c r="E1398" t="s">
        <v>2818</v>
      </c>
      <c r="F1398" t="str">
        <f>"249/307"</f>
        <v>249/307</v>
      </c>
      <c r="G1398" t="s">
        <v>3277</v>
      </c>
      <c r="H1398" t="s">
        <v>1978</v>
      </c>
      <c r="I1398">
        <v>25.85</v>
      </c>
    </row>
    <row r="1399" spans="1:9" ht="12.75">
      <c r="A1399">
        <v>1394</v>
      </c>
      <c r="B1399" t="s">
        <v>5087</v>
      </c>
      <c r="C1399" t="s">
        <v>2830</v>
      </c>
      <c r="D1399" t="s">
        <v>2780</v>
      </c>
      <c r="E1399" t="s">
        <v>2818</v>
      </c>
      <c r="F1399" t="str">
        <f>"250/307"</f>
        <v>250/307</v>
      </c>
      <c r="G1399" t="s">
        <v>3289</v>
      </c>
      <c r="H1399" t="s">
        <v>1979</v>
      </c>
      <c r="I1399">
        <v>25.85</v>
      </c>
    </row>
    <row r="1400" spans="1:9" ht="12.75">
      <c r="A1400">
        <v>1395</v>
      </c>
      <c r="B1400" t="s">
        <v>1980</v>
      </c>
      <c r="C1400" t="s">
        <v>2840</v>
      </c>
      <c r="D1400" t="s">
        <v>2780</v>
      </c>
      <c r="E1400" t="s">
        <v>2818</v>
      </c>
      <c r="F1400" t="str">
        <f>"251/307"</f>
        <v>251/307</v>
      </c>
      <c r="G1400" t="s">
        <v>3289</v>
      </c>
      <c r="H1400" t="s">
        <v>1981</v>
      </c>
      <c r="I1400">
        <v>25.84</v>
      </c>
    </row>
    <row r="1401" spans="1:9" ht="12.75">
      <c r="A1401">
        <v>1396</v>
      </c>
      <c r="B1401" t="s">
        <v>1982</v>
      </c>
      <c r="C1401" t="s">
        <v>2895</v>
      </c>
      <c r="D1401" t="s">
        <v>2780</v>
      </c>
      <c r="E1401" t="s">
        <v>2781</v>
      </c>
      <c r="F1401" t="str">
        <f>"298/329"</f>
        <v>298/329</v>
      </c>
      <c r="G1401" t="s">
        <v>5546</v>
      </c>
      <c r="H1401" t="s">
        <v>1983</v>
      </c>
      <c r="I1401">
        <v>25.82</v>
      </c>
    </row>
    <row r="1402" spans="1:9" ht="12.75">
      <c r="A1402">
        <v>1397</v>
      </c>
      <c r="B1402" t="s">
        <v>117</v>
      </c>
      <c r="C1402" t="s">
        <v>2914</v>
      </c>
      <c r="D1402" t="s">
        <v>2780</v>
      </c>
      <c r="E1402" t="s">
        <v>2781</v>
      </c>
      <c r="F1402" t="str">
        <f>"299/329"</f>
        <v>299/329</v>
      </c>
      <c r="G1402" t="s">
        <v>5034</v>
      </c>
      <c r="H1402" t="s">
        <v>1984</v>
      </c>
      <c r="I1402">
        <v>25.82</v>
      </c>
    </row>
    <row r="1403" spans="1:9" ht="12.75">
      <c r="A1403">
        <v>1398</v>
      </c>
      <c r="B1403" t="s">
        <v>5238</v>
      </c>
      <c r="C1403" t="s">
        <v>2916</v>
      </c>
      <c r="D1403" t="s">
        <v>2780</v>
      </c>
      <c r="E1403" t="s">
        <v>2823</v>
      </c>
      <c r="F1403" t="str">
        <f>"458/504"</f>
        <v>458/504</v>
      </c>
      <c r="G1403" t="s">
        <v>4978</v>
      </c>
      <c r="H1403" t="s">
        <v>1985</v>
      </c>
      <c r="I1403">
        <v>25.81</v>
      </c>
    </row>
    <row r="1404" spans="1:9" ht="12.75">
      <c r="A1404">
        <v>1399</v>
      </c>
      <c r="B1404" t="s">
        <v>1986</v>
      </c>
      <c r="C1404" t="s">
        <v>2857</v>
      </c>
      <c r="D1404" t="s">
        <v>2780</v>
      </c>
      <c r="E1404" t="s">
        <v>2823</v>
      </c>
      <c r="F1404" t="str">
        <f>"459/504"</f>
        <v>459/504</v>
      </c>
      <c r="G1404" t="s">
        <v>673</v>
      </c>
      <c r="H1404" t="s">
        <v>1987</v>
      </c>
      <c r="I1404">
        <v>25.81</v>
      </c>
    </row>
    <row r="1405" spans="1:9" ht="12.75">
      <c r="A1405">
        <v>1400</v>
      </c>
      <c r="B1405" t="s">
        <v>1988</v>
      </c>
      <c r="C1405" t="s">
        <v>1989</v>
      </c>
      <c r="D1405" t="s">
        <v>3031</v>
      </c>
      <c r="E1405" t="s">
        <v>3032</v>
      </c>
      <c r="F1405" t="str">
        <f>"39/54"</f>
        <v>39/54</v>
      </c>
      <c r="G1405" t="s">
        <v>950</v>
      </c>
      <c r="H1405" t="s">
        <v>1990</v>
      </c>
      <c r="I1405">
        <v>25.8</v>
      </c>
    </row>
    <row r="1406" spans="1:9" ht="12.75">
      <c r="A1406">
        <v>1401</v>
      </c>
      <c r="B1406" t="s">
        <v>403</v>
      </c>
      <c r="C1406" t="s">
        <v>3346</v>
      </c>
      <c r="D1406" t="s">
        <v>2780</v>
      </c>
      <c r="E1406" t="s">
        <v>2818</v>
      </c>
      <c r="F1406" t="str">
        <f>"252/307"</f>
        <v>252/307</v>
      </c>
      <c r="G1406" t="s">
        <v>1991</v>
      </c>
      <c r="H1406" t="s">
        <v>1992</v>
      </c>
      <c r="I1406">
        <v>25.79</v>
      </c>
    </row>
    <row r="1407" spans="1:9" ht="12.75">
      <c r="A1407">
        <v>1402</v>
      </c>
      <c r="B1407" t="s">
        <v>1993</v>
      </c>
      <c r="C1407" t="s">
        <v>1994</v>
      </c>
      <c r="D1407" t="s">
        <v>3031</v>
      </c>
      <c r="E1407" t="s">
        <v>3244</v>
      </c>
      <c r="F1407" t="str">
        <f>"33/63"</f>
        <v>33/63</v>
      </c>
      <c r="G1407" t="s">
        <v>5034</v>
      </c>
      <c r="H1407" t="s">
        <v>1995</v>
      </c>
      <c r="I1407">
        <v>25.79</v>
      </c>
    </row>
    <row r="1408" spans="1:9" ht="12.75">
      <c r="A1408">
        <v>1403</v>
      </c>
      <c r="B1408" t="s">
        <v>1996</v>
      </c>
      <c r="C1408" t="s">
        <v>3464</v>
      </c>
      <c r="D1408" t="s">
        <v>2780</v>
      </c>
      <c r="E1408" t="s">
        <v>3209</v>
      </c>
      <c r="F1408" t="str">
        <f>"40/62"</f>
        <v>40/62</v>
      </c>
      <c r="G1408" t="s">
        <v>697</v>
      </c>
      <c r="H1408" t="s">
        <v>1997</v>
      </c>
      <c r="I1408">
        <v>25.78</v>
      </c>
    </row>
    <row r="1409" spans="1:9" ht="12.75">
      <c r="A1409">
        <v>1404</v>
      </c>
      <c r="B1409" t="s">
        <v>1998</v>
      </c>
      <c r="C1409" t="s">
        <v>5033</v>
      </c>
      <c r="D1409" t="s">
        <v>2780</v>
      </c>
      <c r="E1409" t="s">
        <v>2818</v>
      </c>
      <c r="F1409" t="str">
        <f>"253/307"</f>
        <v>253/307</v>
      </c>
      <c r="G1409" t="s">
        <v>1999</v>
      </c>
      <c r="H1409" t="s">
        <v>2000</v>
      </c>
      <c r="I1409">
        <v>25.78</v>
      </c>
    </row>
    <row r="1410" spans="1:9" ht="12.75">
      <c r="A1410">
        <v>1405</v>
      </c>
      <c r="B1410" t="s">
        <v>2001</v>
      </c>
      <c r="C1410" t="s">
        <v>3008</v>
      </c>
      <c r="D1410" t="s">
        <v>2780</v>
      </c>
      <c r="E1410" t="s">
        <v>2823</v>
      </c>
      <c r="F1410" t="str">
        <f>"460/504"</f>
        <v>460/504</v>
      </c>
      <c r="G1410" t="s">
        <v>4874</v>
      </c>
      <c r="H1410" t="s">
        <v>2002</v>
      </c>
      <c r="I1410">
        <v>25.72</v>
      </c>
    </row>
    <row r="1411" spans="1:9" ht="12.75">
      <c r="A1411">
        <v>1406</v>
      </c>
      <c r="B1411" t="s">
        <v>1689</v>
      </c>
      <c r="C1411" t="s">
        <v>2003</v>
      </c>
      <c r="D1411" t="s">
        <v>3031</v>
      </c>
      <c r="E1411" t="s">
        <v>3244</v>
      </c>
      <c r="F1411" t="str">
        <f>"34/63"</f>
        <v>34/63</v>
      </c>
      <c r="G1411" t="s">
        <v>3206</v>
      </c>
      <c r="H1411" t="s">
        <v>2004</v>
      </c>
      <c r="I1411">
        <v>25.7</v>
      </c>
    </row>
    <row r="1412" spans="1:9" ht="12.75">
      <c r="A1412">
        <v>1407</v>
      </c>
      <c r="B1412" t="s">
        <v>2789</v>
      </c>
      <c r="C1412" t="s">
        <v>2865</v>
      </c>
      <c r="D1412" t="s">
        <v>2780</v>
      </c>
      <c r="E1412" t="s">
        <v>2823</v>
      </c>
      <c r="F1412" t="str">
        <f>"461/504"</f>
        <v>461/504</v>
      </c>
      <c r="G1412" t="s">
        <v>2005</v>
      </c>
      <c r="H1412" t="s">
        <v>2006</v>
      </c>
      <c r="I1412">
        <v>25.7</v>
      </c>
    </row>
    <row r="1413" spans="1:9" ht="12.75">
      <c r="A1413">
        <v>1408</v>
      </c>
      <c r="B1413" t="s">
        <v>2007</v>
      </c>
      <c r="C1413" t="s">
        <v>2942</v>
      </c>
      <c r="D1413" t="s">
        <v>2780</v>
      </c>
      <c r="E1413" t="s">
        <v>2973</v>
      </c>
      <c r="F1413" t="str">
        <f>"126/167"</f>
        <v>126/167</v>
      </c>
      <c r="G1413" t="s">
        <v>2008</v>
      </c>
      <c r="H1413" t="s">
        <v>2009</v>
      </c>
      <c r="I1413">
        <v>25.68</v>
      </c>
    </row>
    <row r="1414" spans="1:9" ht="12.75">
      <c r="A1414">
        <v>1409</v>
      </c>
      <c r="B1414" t="s">
        <v>2010</v>
      </c>
      <c r="C1414" t="s">
        <v>3057</v>
      </c>
      <c r="D1414" t="s">
        <v>2780</v>
      </c>
      <c r="E1414" t="s">
        <v>2818</v>
      </c>
      <c r="F1414" t="str">
        <f>"254/307"</f>
        <v>254/307</v>
      </c>
      <c r="G1414" t="s">
        <v>1705</v>
      </c>
      <c r="H1414" t="s">
        <v>2011</v>
      </c>
      <c r="I1414">
        <v>25.67</v>
      </c>
    </row>
    <row r="1415" spans="1:9" ht="12.75">
      <c r="A1415">
        <v>1410</v>
      </c>
      <c r="B1415" t="s">
        <v>2867</v>
      </c>
      <c r="C1415" t="s">
        <v>2836</v>
      </c>
      <c r="D1415" t="s">
        <v>2780</v>
      </c>
      <c r="E1415" t="s">
        <v>2823</v>
      </c>
      <c r="F1415" t="str">
        <f>"462/504"</f>
        <v>462/504</v>
      </c>
      <c r="G1415" t="s">
        <v>2012</v>
      </c>
      <c r="H1415" t="s">
        <v>2013</v>
      </c>
      <c r="I1415">
        <v>25.66</v>
      </c>
    </row>
    <row r="1416" spans="1:9" ht="12.75">
      <c r="A1416">
        <v>1411</v>
      </c>
      <c r="B1416" t="s">
        <v>5336</v>
      </c>
      <c r="C1416" t="s">
        <v>3560</v>
      </c>
      <c r="D1416" t="s">
        <v>2780</v>
      </c>
      <c r="E1416" t="s">
        <v>2781</v>
      </c>
      <c r="F1416" t="str">
        <f>"300/329"</f>
        <v>300/329</v>
      </c>
      <c r="G1416" t="s">
        <v>3555</v>
      </c>
      <c r="H1416" t="s">
        <v>2014</v>
      </c>
      <c r="I1416">
        <v>25.66</v>
      </c>
    </row>
    <row r="1417" spans="1:9" ht="12.75">
      <c r="A1417">
        <v>1412</v>
      </c>
      <c r="B1417" t="s">
        <v>2015</v>
      </c>
      <c r="C1417" t="s">
        <v>3464</v>
      </c>
      <c r="D1417" t="s">
        <v>2780</v>
      </c>
      <c r="E1417" t="s">
        <v>2823</v>
      </c>
      <c r="F1417" t="str">
        <f>"463/504"</f>
        <v>463/504</v>
      </c>
      <c r="G1417" t="s">
        <v>5444</v>
      </c>
      <c r="H1417" t="s">
        <v>2016</v>
      </c>
      <c r="I1417">
        <v>25.66</v>
      </c>
    </row>
    <row r="1418" spans="1:9" ht="12.75">
      <c r="A1418">
        <v>1413</v>
      </c>
      <c r="B1418" t="s">
        <v>2017</v>
      </c>
      <c r="C1418" t="s">
        <v>2840</v>
      </c>
      <c r="D1418" t="s">
        <v>2780</v>
      </c>
      <c r="E1418" t="s">
        <v>2973</v>
      </c>
      <c r="F1418" t="str">
        <f>"127/167"</f>
        <v>127/167</v>
      </c>
      <c r="G1418" t="s">
        <v>3555</v>
      </c>
      <c r="H1418" t="s">
        <v>2018</v>
      </c>
      <c r="I1418">
        <v>25.65</v>
      </c>
    </row>
    <row r="1419" spans="1:9" ht="12.75">
      <c r="A1419">
        <v>1414</v>
      </c>
      <c r="B1419" t="s">
        <v>2019</v>
      </c>
      <c r="C1419" t="s">
        <v>2857</v>
      </c>
      <c r="D1419" t="s">
        <v>2780</v>
      </c>
      <c r="E1419" t="s">
        <v>2818</v>
      </c>
      <c r="F1419" t="str">
        <f>"255/307"</f>
        <v>255/307</v>
      </c>
      <c r="G1419" t="s">
        <v>3555</v>
      </c>
      <c r="H1419" t="s">
        <v>2020</v>
      </c>
      <c r="I1419">
        <v>25.64</v>
      </c>
    </row>
    <row r="1420" spans="1:9" ht="12.75">
      <c r="A1420">
        <v>1415</v>
      </c>
      <c r="B1420" t="s">
        <v>2021</v>
      </c>
      <c r="C1420" t="s">
        <v>2022</v>
      </c>
      <c r="D1420" t="s">
        <v>2780</v>
      </c>
      <c r="E1420" t="s">
        <v>2781</v>
      </c>
      <c r="F1420" t="str">
        <f>"301/329"</f>
        <v>301/329</v>
      </c>
      <c r="G1420" t="s">
        <v>3555</v>
      </c>
      <c r="H1420" t="s">
        <v>2023</v>
      </c>
      <c r="I1420">
        <v>25.64</v>
      </c>
    </row>
    <row r="1421" spans="1:9" ht="12.75">
      <c r="A1421">
        <v>1416</v>
      </c>
      <c r="B1421" t="s">
        <v>3553</v>
      </c>
      <c r="C1421" t="s">
        <v>3387</v>
      </c>
      <c r="D1421" t="s">
        <v>2780</v>
      </c>
      <c r="E1421" t="s">
        <v>2781</v>
      </c>
      <c r="F1421" t="str">
        <f>"302/329"</f>
        <v>302/329</v>
      </c>
      <c r="G1421" t="s">
        <v>3555</v>
      </c>
      <c r="H1421" t="s">
        <v>2024</v>
      </c>
      <c r="I1421">
        <v>25.64</v>
      </c>
    </row>
    <row r="1422" spans="1:9" ht="12.75">
      <c r="A1422">
        <v>1417</v>
      </c>
      <c r="B1422" t="s">
        <v>2025</v>
      </c>
      <c r="C1422" t="s">
        <v>3417</v>
      </c>
      <c r="D1422" t="s">
        <v>2780</v>
      </c>
      <c r="E1422" t="s">
        <v>2818</v>
      </c>
      <c r="F1422" t="str">
        <f>"256/307"</f>
        <v>256/307</v>
      </c>
      <c r="G1422" t="s">
        <v>138</v>
      </c>
      <c r="H1422" t="s">
        <v>2026</v>
      </c>
      <c r="I1422">
        <v>25.64</v>
      </c>
    </row>
    <row r="1423" spans="1:9" ht="12.75">
      <c r="A1423">
        <v>1418</v>
      </c>
      <c r="B1423" t="s">
        <v>2027</v>
      </c>
      <c r="C1423" t="s">
        <v>3283</v>
      </c>
      <c r="D1423" t="s">
        <v>2780</v>
      </c>
      <c r="E1423" t="s">
        <v>2823</v>
      </c>
      <c r="F1423" t="str">
        <f>"464/504"</f>
        <v>464/504</v>
      </c>
      <c r="G1423" t="s">
        <v>2028</v>
      </c>
      <c r="H1423" t="s">
        <v>2029</v>
      </c>
      <c r="I1423">
        <v>25.63</v>
      </c>
    </row>
    <row r="1424" spans="1:9" ht="12.75">
      <c r="A1424">
        <v>1419</v>
      </c>
      <c r="B1424" t="s">
        <v>2843</v>
      </c>
      <c r="C1424" t="s">
        <v>3174</v>
      </c>
      <c r="D1424" t="s">
        <v>2780</v>
      </c>
      <c r="E1424" t="s">
        <v>2781</v>
      </c>
      <c r="F1424" t="str">
        <f>"303/329"</f>
        <v>303/329</v>
      </c>
      <c r="G1424" t="s">
        <v>3555</v>
      </c>
      <c r="H1424" t="s">
        <v>2030</v>
      </c>
      <c r="I1424">
        <v>25.63</v>
      </c>
    </row>
    <row r="1425" spans="1:9" ht="12.75">
      <c r="A1425">
        <v>1420</v>
      </c>
      <c r="B1425" t="s">
        <v>2031</v>
      </c>
      <c r="C1425" t="s">
        <v>2942</v>
      </c>
      <c r="D1425" t="s">
        <v>2780</v>
      </c>
      <c r="E1425" t="s">
        <v>2781</v>
      </c>
      <c r="F1425" t="str">
        <f>"304/329"</f>
        <v>304/329</v>
      </c>
      <c r="G1425" t="s">
        <v>2032</v>
      </c>
      <c r="H1425" t="s">
        <v>2033</v>
      </c>
      <c r="I1425">
        <v>25.61</v>
      </c>
    </row>
    <row r="1426" spans="1:9" ht="12.75">
      <c r="A1426">
        <v>1421</v>
      </c>
      <c r="B1426" t="s">
        <v>2034</v>
      </c>
      <c r="C1426" t="s">
        <v>2035</v>
      </c>
      <c r="D1426" t="s">
        <v>2780</v>
      </c>
      <c r="E1426" t="s">
        <v>2781</v>
      </c>
      <c r="F1426" t="str">
        <f>"305/329"</f>
        <v>305/329</v>
      </c>
      <c r="G1426" t="s">
        <v>1869</v>
      </c>
      <c r="H1426" t="s">
        <v>2036</v>
      </c>
      <c r="I1426">
        <v>25.61</v>
      </c>
    </row>
    <row r="1427" spans="1:9" ht="12.75">
      <c r="A1427">
        <v>1422</v>
      </c>
      <c r="B1427" t="s">
        <v>3204</v>
      </c>
      <c r="C1427" t="s">
        <v>3318</v>
      </c>
      <c r="D1427" t="s">
        <v>2780</v>
      </c>
      <c r="E1427" t="s">
        <v>2823</v>
      </c>
      <c r="F1427" t="str">
        <f>"465/504"</f>
        <v>465/504</v>
      </c>
      <c r="G1427" t="s">
        <v>3266</v>
      </c>
      <c r="H1427" t="s">
        <v>2037</v>
      </c>
      <c r="I1427">
        <v>25.59</v>
      </c>
    </row>
    <row r="1428" spans="1:9" ht="12.75">
      <c r="A1428">
        <v>1423</v>
      </c>
      <c r="B1428" t="s">
        <v>2038</v>
      </c>
      <c r="C1428" t="s">
        <v>2966</v>
      </c>
      <c r="D1428" t="s">
        <v>2780</v>
      </c>
      <c r="E1428" t="s">
        <v>2799</v>
      </c>
      <c r="F1428" t="str">
        <f>"91/99"</f>
        <v>91/99</v>
      </c>
      <c r="G1428" t="s">
        <v>604</v>
      </c>
      <c r="H1428" t="s">
        <v>2039</v>
      </c>
      <c r="I1428">
        <v>25.59</v>
      </c>
    </row>
    <row r="1429" spans="1:9" ht="12.75">
      <c r="A1429">
        <v>1424</v>
      </c>
      <c r="B1429" t="s">
        <v>2040</v>
      </c>
      <c r="C1429" t="s">
        <v>2817</v>
      </c>
      <c r="D1429" t="s">
        <v>2780</v>
      </c>
      <c r="E1429" t="s">
        <v>2818</v>
      </c>
      <c r="F1429" t="str">
        <f>"257/307"</f>
        <v>257/307</v>
      </c>
      <c r="G1429" t="s">
        <v>3322</v>
      </c>
      <c r="H1429" t="s">
        <v>2041</v>
      </c>
      <c r="I1429">
        <v>25.58</v>
      </c>
    </row>
    <row r="1430" spans="1:9" ht="12.75">
      <c r="A1430">
        <v>1425</v>
      </c>
      <c r="B1430" t="s">
        <v>5661</v>
      </c>
      <c r="C1430" t="s">
        <v>2042</v>
      </c>
      <c r="D1430" t="s">
        <v>2780</v>
      </c>
      <c r="E1430" t="s">
        <v>2823</v>
      </c>
      <c r="F1430" t="str">
        <f>"466/504"</f>
        <v>466/504</v>
      </c>
      <c r="G1430" t="s">
        <v>3391</v>
      </c>
      <c r="H1430" t="s">
        <v>2043</v>
      </c>
      <c r="I1430">
        <v>25.56</v>
      </c>
    </row>
    <row r="1431" spans="1:9" ht="12.75">
      <c r="A1431">
        <v>1426</v>
      </c>
      <c r="B1431" t="s">
        <v>2044</v>
      </c>
      <c r="C1431" t="s">
        <v>293</v>
      </c>
      <c r="D1431" t="s">
        <v>3031</v>
      </c>
      <c r="E1431" t="s">
        <v>3244</v>
      </c>
      <c r="F1431" t="str">
        <f>"35/63"</f>
        <v>35/63</v>
      </c>
      <c r="G1431" t="s">
        <v>2045</v>
      </c>
      <c r="H1431" t="s">
        <v>2046</v>
      </c>
      <c r="I1431">
        <v>25.56</v>
      </c>
    </row>
    <row r="1432" spans="1:9" ht="12.75">
      <c r="A1432">
        <v>1427</v>
      </c>
      <c r="B1432" t="s">
        <v>2047</v>
      </c>
      <c r="C1432" t="s">
        <v>3201</v>
      </c>
      <c r="D1432" t="s">
        <v>2780</v>
      </c>
      <c r="E1432" t="s">
        <v>2781</v>
      </c>
      <c r="F1432" t="str">
        <f>"306/329"</f>
        <v>306/329</v>
      </c>
      <c r="G1432" t="s">
        <v>2048</v>
      </c>
      <c r="H1432" t="s">
        <v>2049</v>
      </c>
      <c r="I1432">
        <v>25.56</v>
      </c>
    </row>
    <row r="1433" spans="1:9" ht="12.75">
      <c r="A1433">
        <v>1428</v>
      </c>
      <c r="B1433" t="s">
        <v>2050</v>
      </c>
      <c r="C1433" t="s">
        <v>394</v>
      </c>
      <c r="D1433" t="s">
        <v>3031</v>
      </c>
      <c r="E1433" t="s">
        <v>3032</v>
      </c>
      <c r="F1433" t="str">
        <f>"40/54"</f>
        <v>40/54</v>
      </c>
      <c r="G1433" t="s">
        <v>2048</v>
      </c>
      <c r="H1433" t="s">
        <v>2051</v>
      </c>
      <c r="I1433">
        <v>25.56</v>
      </c>
    </row>
    <row r="1434" spans="1:9" ht="12.75">
      <c r="A1434">
        <v>1429</v>
      </c>
      <c r="B1434" t="s">
        <v>2052</v>
      </c>
      <c r="C1434" t="s">
        <v>2857</v>
      </c>
      <c r="D1434" t="s">
        <v>2780</v>
      </c>
      <c r="E1434" t="s">
        <v>2823</v>
      </c>
      <c r="F1434" t="str">
        <f>"467/504"</f>
        <v>467/504</v>
      </c>
      <c r="G1434" t="s">
        <v>2048</v>
      </c>
      <c r="H1434" t="s">
        <v>2053</v>
      </c>
      <c r="I1434">
        <v>25.56</v>
      </c>
    </row>
    <row r="1435" spans="1:9" ht="12.75">
      <c r="A1435">
        <v>1430</v>
      </c>
      <c r="B1435" t="s">
        <v>2054</v>
      </c>
      <c r="C1435" t="s">
        <v>504</v>
      </c>
      <c r="D1435" t="s">
        <v>2780</v>
      </c>
      <c r="E1435" t="s">
        <v>2818</v>
      </c>
      <c r="F1435" t="str">
        <f>"258/307"</f>
        <v>258/307</v>
      </c>
      <c r="G1435" t="s">
        <v>2055</v>
      </c>
      <c r="H1435" t="s">
        <v>2056</v>
      </c>
      <c r="I1435">
        <v>25.55</v>
      </c>
    </row>
    <row r="1436" spans="1:9" ht="12.75">
      <c r="A1436">
        <v>1431</v>
      </c>
      <c r="B1436" t="s">
        <v>2057</v>
      </c>
      <c r="C1436" t="s">
        <v>615</v>
      </c>
      <c r="D1436" t="s">
        <v>2780</v>
      </c>
      <c r="E1436" t="s">
        <v>2973</v>
      </c>
      <c r="F1436" t="str">
        <f>"128/167"</f>
        <v>128/167</v>
      </c>
      <c r="G1436" t="s">
        <v>3555</v>
      </c>
      <c r="H1436" t="s">
        <v>2058</v>
      </c>
      <c r="I1436">
        <v>25.55</v>
      </c>
    </row>
    <row r="1437" spans="1:9" ht="12.75">
      <c r="A1437">
        <v>1432</v>
      </c>
      <c r="B1437" t="s">
        <v>2059</v>
      </c>
      <c r="C1437" t="s">
        <v>2914</v>
      </c>
      <c r="D1437" t="s">
        <v>2780</v>
      </c>
      <c r="E1437" t="s">
        <v>2823</v>
      </c>
      <c r="F1437" t="str">
        <f>"468/504"</f>
        <v>468/504</v>
      </c>
      <c r="G1437" t="s">
        <v>2048</v>
      </c>
      <c r="H1437" t="s">
        <v>2060</v>
      </c>
      <c r="I1437">
        <v>25.55</v>
      </c>
    </row>
    <row r="1438" spans="1:9" ht="12.75">
      <c r="A1438">
        <v>1433</v>
      </c>
      <c r="B1438" t="s">
        <v>2061</v>
      </c>
      <c r="C1438" t="s">
        <v>2830</v>
      </c>
      <c r="D1438" t="s">
        <v>2780</v>
      </c>
      <c r="E1438" t="s">
        <v>2781</v>
      </c>
      <c r="F1438" t="str">
        <f>"307/329"</f>
        <v>307/329</v>
      </c>
      <c r="G1438" t="s">
        <v>155</v>
      </c>
      <c r="H1438" t="s">
        <v>2062</v>
      </c>
      <c r="I1438">
        <v>25.55</v>
      </c>
    </row>
    <row r="1439" spans="1:9" ht="12.75">
      <c r="A1439">
        <v>1434</v>
      </c>
      <c r="B1439" t="s">
        <v>2063</v>
      </c>
      <c r="C1439" t="s">
        <v>3114</v>
      </c>
      <c r="D1439" t="s">
        <v>2780</v>
      </c>
      <c r="E1439" t="s">
        <v>2973</v>
      </c>
      <c r="F1439" t="str">
        <f>"129/167"</f>
        <v>129/167</v>
      </c>
      <c r="G1439" t="s">
        <v>2064</v>
      </c>
      <c r="H1439" t="s">
        <v>2065</v>
      </c>
      <c r="I1439">
        <v>25.55</v>
      </c>
    </row>
    <row r="1440" spans="1:9" ht="12.75">
      <c r="A1440">
        <v>1435</v>
      </c>
      <c r="B1440" t="s">
        <v>2066</v>
      </c>
      <c r="C1440" t="s">
        <v>3164</v>
      </c>
      <c r="D1440" t="s">
        <v>2780</v>
      </c>
      <c r="E1440" t="s">
        <v>2823</v>
      </c>
      <c r="F1440" t="str">
        <f>"469/504"</f>
        <v>469/504</v>
      </c>
      <c r="G1440" t="s">
        <v>1104</v>
      </c>
      <c r="H1440" t="s">
        <v>2067</v>
      </c>
      <c r="I1440">
        <v>25.54</v>
      </c>
    </row>
    <row r="1441" spans="1:9" ht="12.75">
      <c r="A1441">
        <v>1436</v>
      </c>
      <c r="B1441" t="s">
        <v>2068</v>
      </c>
      <c r="C1441" t="s">
        <v>1564</v>
      </c>
      <c r="D1441" t="s">
        <v>3031</v>
      </c>
      <c r="E1441" t="s">
        <v>3244</v>
      </c>
      <c r="F1441" t="str">
        <f>"36/63"</f>
        <v>36/63</v>
      </c>
      <c r="G1441" t="s">
        <v>2069</v>
      </c>
      <c r="H1441" t="s">
        <v>2070</v>
      </c>
      <c r="I1441">
        <v>25.54</v>
      </c>
    </row>
    <row r="1442" spans="1:9" ht="12.75">
      <c r="A1442">
        <v>1437</v>
      </c>
      <c r="B1442" t="s">
        <v>2071</v>
      </c>
      <c r="C1442" t="s">
        <v>3560</v>
      </c>
      <c r="D1442" t="s">
        <v>2780</v>
      </c>
      <c r="E1442" t="s">
        <v>2823</v>
      </c>
      <c r="F1442" t="str">
        <f>"470/504"</f>
        <v>470/504</v>
      </c>
      <c r="G1442" t="s">
        <v>2048</v>
      </c>
      <c r="H1442" t="s">
        <v>2072</v>
      </c>
      <c r="I1442">
        <v>25.53</v>
      </c>
    </row>
    <row r="1443" spans="1:9" ht="12.75">
      <c r="A1443">
        <v>1438</v>
      </c>
      <c r="B1443" t="s">
        <v>2073</v>
      </c>
      <c r="C1443" t="s">
        <v>504</v>
      </c>
      <c r="D1443" t="s">
        <v>2780</v>
      </c>
      <c r="E1443" t="s">
        <v>2818</v>
      </c>
      <c r="F1443" t="str">
        <f>"259/307"</f>
        <v>259/307</v>
      </c>
      <c r="G1443" t="s">
        <v>2074</v>
      </c>
      <c r="H1443" t="s">
        <v>2075</v>
      </c>
      <c r="I1443">
        <v>25.52</v>
      </c>
    </row>
    <row r="1444" spans="1:9" ht="12.75">
      <c r="A1444">
        <v>1439</v>
      </c>
      <c r="B1444" t="s">
        <v>2076</v>
      </c>
      <c r="C1444" t="s">
        <v>3346</v>
      </c>
      <c r="D1444" t="s">
        <v>2780</v>
      </c>
      <c r="E1444" t="s">
        <v>2818</v>
      </c>
      <c r="F1444" t="str">
        <f>"260/307"</f>
        <v>260/307</v>
      </c>
      <c r="G1444" t="s">
        <v>2074</v>
      </c>
      <c r="H1444" t="s">
        <v>2077</v>
      </c>
      <c r="I1444">
        <v>25.52</v>
      </c>
    </row>
    <row r="1445" spans="1:9" ht="12.75">
      <c r="A1445">
        <v>1440</v>
      </c>
      <c r="B1445" t="s">
        <v>2078</v>
      </c>
      <c r="C1445" t="s">
        <v>3421</v>
      </c>
      <c r="D1445" t="s">
        <v>2780</v>
      </c>
      <c r="E1445" t="s">
        <v>2818</v>
      </c>
      <c r="F1445" t="str">
        <f>"261/307"</f>
        <v>261/307</v>
      </c>
      <c r="G1445" t="s">
        <v>2079</v>
      </c>
      <c r="H1445" t="s">
        <v>2080</v>
      </c>
      <c r="I1445">
        <v>25.5</v>
      </c>
    </row>
    <row r="1446" spans="1:9" ht="12.75">
      <c r="A1446">
        <v>1441</v>
      </c>
      <c r="B1446" t="s">
        <v>5194</v>
      </c>
      <c r="C1446" t="s">
        <v>2081</v>
      </c>
      <c r="D1446" t="s">
        <v>2780</v>
      </c>
      <c r="E1446" t="s">
        <v>2973</v>
      </c>
      <c r="F1446" t="str">
        <f>"130/167"</f>
        <v>130/167</v>
      </c>
      <c r="G1446" t="s">
        <v>5195</v>
      </c>
      <c r="H1446" t="s">
        <v>2082</v>
      </c>
      <c r="I1446">
        <v>25.49</v>
      </c>
    </row>
    <row r="1447" spans="1:9" ht="12.75">
      <c r="A1447">
        <v>1442</v>
      </c>
      <c r="B1447" t="s">
        <v>729</v>
      </c>
      <c r="C1447" t="s">
        <v>2861</v>
      </c>
      <c r="D1447" t="s">
        <v>2780</v>
      </c>
      <c r="E1447" t="s">
        <v>2823</v>
      </c>
      <c r="F1447" t="str">
        <f>"471/504"</f>
        <v>471/504</v>
      </c>
      <c r="G1447" t="s">
        <v>3543</v>
      </c>
      <c r="H1447" t="s">
        <v>2083</v>
      </c>
      <c r="I1447">
        <v>25.49</v>
      </c>
    </row>
    <row r="1448" spans="1:9" ht="12.75">
      <c r="A1448">
        <v>1443</v>
      </c>
      <c r="B1448" t="s">
        <v>124</v>
      </c>
      <c r="C1448" t="s">
        <v>2084</v>
      </c>
      <c r="D1448" t="s">
        <v>3031</v>
      </c>
      <c r="E1448" t="s">
        <v>3244</v>
      </c>
      <c r="F1448" t="str">
        <f>"37/63"</f>
        <v>37/63</v>
      </c>
      <c r="G1448" t="s">
        <v>3261</v>
      </c>
      <c r="H1448" t="s">
        <v>2085</v>
      </c>
      <c r="I1448">
        <v>25.48</v>
      </c>
    </row>
    <row r="1449" spans="1:9" ht="12.75">
      <c r="A1449">
        <v>1444</v>
      </c>
      <c r="B1449" t="s">
        <v>2086</v>
      </c>
      <c r="C1449" t="s">
        <v>2810</v>
      </c>
      <c r="D1449" t="s">
        <v>2780</v>
      </c>
      <c r="E1449" t="s">
        <v>2781</v>
      </c>
      <c r="F1449" t="str">
        <f>"308/329"</f>
        <v>308/329</v>
      </c>
      <c r="G1449" t="s">
        <v>2087</v>
      </c>
      <c r="H1449" t="s">
        <v>2088</v>
      </c>
      <c r="I1449">
        <v>25.48</v>
      </c>
    </row>
    <row r="1450" spans="1:9" ht="12.75">
      <c r="A1450">
        <v>1445</v>
      </c>
      <c r="B1450" t="s">
        <v>2089</v>
      </c>
      <c r="C1450" t="s">
        <v>3057</v>
      </c>
      <c r="D1450" t="s">
        <v>2780</v>
      </c>
      <c r="E1450" t="s">
        <v>2818</v>
      </c>
      <c r="F1450" t="str">
        <f>"262/307"</f>
        <v>262/307</v>
      </c>
      <c r="G1450" t="s">
        <v>1878</v>
      </c>
      <c r="H1450" t="s">
        <v>2090</v>
      </c>
      <c r="I1450">
        <v>25.47</v>
      </c>
    </row>
    <row r="1451" spans="1:9" ht="12.75">
      <c r="A1451">
        <v>1446</v>
      </c>
      <c r="B1451" t="s">
        <v>2091</v>
      </c>
      <c r="C1451" t="s">
        <v>1604</v>
      </c>
      <c r="D1451" t="s">
        <v>2780</v>
      </c>
      <c r="E1451" t="s">
        <v>2818</v>
      </c>
      <c r="F1451" t="str">
        <f>"263/307"</f>
        <v>263/307</v>
      </c>
      <c r="G1451" t="s">
        <v>2074</v>
      </c>
      <c r="H1451" t="s">
        <v>2092</v>
      </c>
      <c r="I1451">
        <v>25.47</v>
      </c>
    </row>
    <row r="1452" spans="1:9" ht="12.75">
      <c r="A1452">
        <v>1447</v>
      </c>
      <c r="B1452" t="s">
        <v>2093</v>
      </c>
      <c r="C1452" t="s">
        <v>2865</v>
      </c>
      <c r="D1452" t="s">
        <v>2780</v>
      </c>
      <c r="E1452" t="s">
        <v>2823</v>
      </c>
      <c r="F1452" t="str">
        <f>"472/504"</f>
        <v>472/504</v>
      </c>
      <c r="G1452" t="s">
        <v>2074</v>
      </c>
      <c r="H1452" t="s">
        <v>2094</v>
      </c>
      <c r="I1452">
        <v>25.47</v>
      </c>
    </row>
    <row r="1453" spans="1:9" ht="12.75">
      <c r="A1453">
        <v>1448</v>
      </c>
      <c r="B1453" t="s">
        <v>2095</v>
      </c>
      <c r="C1453" t="s">
        <v>3057</v>
      </c>
      <c r="D1453" t="s">
        <v>2780</v>
      </c>
      <c r="E1453" t="s">
        <v>2818</v>
      </c>
      <c r="F1453" t="str">
        <f>"264/307"</f>
        <v>264/307</v>
      </c>
      <c r="G1453" t="s">
        <v>5502</v>
      </c>
      <c r="H1453" t="s">
        <v>2096</v>
      </c>
      <c r="I1453">
        <v>25.46</v>
      </c>
    </row>
    <row r="1454" spans="1:9" ht="12.75">
      <c r="A1454">
        <v>1449</v>
      </c>
      <c r="B1454" t="s">
        <v>2097</v>
      </c>
      <c r="C1454" t="s">
        <v>1690</v>
      </c>
      <c r="D1454" t="s">
        <v>3031</v>
      </c>
      <c r="E1454" t="s">
        <v>3244</v>
      </c>
      <c r="F1454" t="str">
        <f>"38/63"</f>
        <v>38/63</v>
      </c>
      <c r="G1454" t="s">
        <v>5502</v>
      </c>
      <c r="H1454" t="s">
        <v>2098</v>
      </c>
      <c r="I1454">
        <v>25.46</v>
      </c>
    </row>
    <row r="1455" spans="1:9" ht="12.75">
      <c r="A1455">
        <v>1450</v>
      </c>
      <c r="B1455" t="s">
        <v>1001</v>
      </c>
      <c r="C1455" t="s">
        <v>470</v>
      </c>
      <c r="D1455" t="s">
        <v>2780</v>
      </c>
      <c r="E1455" t="s">
        <v>2818</v>
      </c>
      <c r="F1455" t="str">
        <f>"265/307"</f>
        <v>265/307</v>
      </c>
      <c r="G1455" t="s">
        <v>2048</v>
      </c>
      <c r="H1455" t="s">
        <v>2099</v>
      </c>
      <c r="I1455">
        <v>25.45</v>
      </c>
    </row>
    <row r="1456" spans="1:9" ht="12.75">
      <c r="A1456">
        <v>1451</v>
      </c>
      <c r="B1456" t="s">
        <v>2100</v>
      </c>
      <c r="C1456" t="s">
        <v>3633</v>
      </c>
      <c r="D1456" t="s">
        <v>2780</v>
      </c>
      <c r="E1456" t="s">
        <v>2781</v>
      </c>
      <c r="F1456" t="str">
        <f>"309/329"</f>
        <v>309/329</v>
      </c>
      <c r="G1456" t="s">
        <v>2101</v>
      </c>
      <c r="H1456" t="s">
        <v>2102</v>
      </c>
      <c r="I1456">
        <v>25.45</v>
      </c>
    </row>
    <row r="1457" spans="1:9" ht="12.75">
      <c r="A1457">
        <v>1452</v>
      </c>
      <c r="B1457" t="s">
        <v>2103</v>
      </c>
      <c r="C1457" t="s">
        <v>2104</v>
      </c>
      <c r="D1457" t="s">
        <v>2780</v>
      </c>
      <c r="E1457" t="s">
        <v>2818</v>
      </c>
      <c r="F1457" t="str">
        <f>"266/307"</f>
        <v>266/307</v>
      </c>
      <c r="G1457" t="s">
        <v>1080</v>
      </c>
      <c r="H1457" t="s">
        <v>2105</v>
      </c>
      <c r="I1457">
        <v>25.45</v>
      </c>
    </row>
    <row r="1458" spans="1:9" ht="12.75">
      <c r="A1458">
        <v>1453</v>
      </c>
      <c r="B1458" t="s">
        <v>2106</v>
      </c>
      <c r="C1458" t="s">
        <v>2895</v>
      </c>
      <c r="D1458" t="s">
        <v>2780</v>
      </c>
      <c r="E1458" t="s">
        <v>2823</v>
      </c>
      <c r="F1458" t="str">
        <f>"473/504"</f>
        <v>473/504</v>
      </c>
      <c r="G1458" t="s">
        <v>2107</v>
      </c>
      <c r="H1458" t="s">
        <v>2108</v>
      </c>
      <c r="I1458">
        <v>25.44</v>
      </c>
    </row>
    <row r="1459" spans="1:9" ht="12.75">
      <c r="A1459">
        <v>1454</v>
      </c>
      <c r="B1459" t="s">
        <v>2109</v>
      </c>
      <c r="C1459" t="s">
        <v>2110</v>
      </c>
      <c r="D1459" t="s">
        <v>2780</v>
      </c>
      <c r="E1459" t="s">
        <v>2973</v>
      </c>
      <c r="F1459" t="str">
        <f>"131/167"</f>
        <v>131/167</v>
      </c>
      <c r="G1459" t="s">
        <v>925</v>
      </c>
      <c r="H1459" t="s">
        <v>2111</v>
      </c>
      <c r="I1459">
        <v>25.44</v>
      </c>
    </row>
    <row r="1460" spans="1:9" ht="12.75">
      <c r="A1460">
        <v>1455</v>
      </c>
      <c r="B1460" t="s">
        <v>2112</v>
      </c>
      <c r="C1460" t="s">
        <v>2113</v>
      </c>
      <c r="D1460" t="s">
        <v>2780</v>
      </c>
      <c r="E1460" t="s">
        <v>2973</v>
      </c>
      <c r="F1460" t="str">
        <f>"132/167"</f>
        <v>132/167</v>
      </c>
      <c r="G1460" t="s">
        <v>2114</v>
      </c>
      <c r="H1460" t="s">
        <v>2115</v>
      </c>
      <c r="I1460">
        <v>25.43</v>
      </c>
    </row>
    <row r="1461" spans="1:9" ht="12.75">
      <c r="A1461">
        <v>1456</v>
      </c>
      <c r="B1461" t="s">
        <v>2116</v>
      </c>
      <c r="C1461" t="s">
        <v>2117</v>
      </c>
      <c r="D1461" t="s">
        <v>2780</v>
      </c>
      <c r="E1461" t="s">
        <v>2823</v>
      </c>
      <c r="F1461" t="str">
        <f>"474/504"</f>
        <v>474/504</v>
      </c>
      <c r="G1461" t="s">
        <v>59</v>
      </c>
      <c r="H1461" t="s">
        <v>2118</v>
      </c>
      <c r="I1461">
        <v>25.41</v>
      </c>
    </row>
    <row r="1462" spans="1:9" ht="12.75">
      <c r="A1462">
        <v>1457</v>
      </c>
      <c r="B1462" t="s">
        <v>2119</v>
      </c>
      <c r="C1462" t="s">
        <v>3017</v>
      </c>
      <c r="D1462" t="s">
        <v>2780</v>
      </c>
      <c r="E1462" t="s">
        <v>2781</v>
      </c>
      <c r="F1462" t="str">
        <f>"310/329"</f>
        <v>310/329</v>
      </c>
      <c r="G1462" t="s">
        <v>3555</v>
      </c>
      <c r="H1462" t="s">
        <v>2120</v>
      </c>
      <c r="I1462">
        <v>25.39</v>
      </c>
    </row>
    <row r="1463" spans="1:9" ht="12.75">
      <c r="A1463">
        <v>1458</v>
      </c>
      <c r="B1463" t="s">
        <v>2121</v>
      </c>
      <c r="C1463" t="s">
        <v>3576</v>
      </c>
      <c r="D1463" t="s">
        <v>2780</v>
      </c>
      <c r="E1463" t="s">
        <v>2973</v>
      </c>
      <c r="F1463" t="str">
        <f>"133/167"</f>
        <v>133/167</v>
      </c>
      <c r="G1463" t="s">
        <v>3555</v>
      </c>
      <c r="H1463" t="s">
        <v>2122</v>
      </c>
      <c r="I1463">
        <v>25.39</v>
      </c>
    </row>
    <row r="1464" spans="1:9" ht="12.75">
      <c r="A1464">
        <v>1459</v>
      </c>
      <c r="B1464" t="s">
        <v>5155</v>
      </c>
      <c r="C1464" t="s">
        <v>2981</v>
      </c>
      <c r="D1464" t="s">
        <v>2780</v>
      </c>
      <c r="E1464" t="s">
        <v>2781</v>
      </c>
      <c r="F1464" t="str">
        <f>"311/329"</f>
        <v>311/329</v>
      </c>
      <c r="G1464" t="s">
        <v>3555</v>
      </c>
      <c r="H1464" t="s">
        <v>2123</v>
      </c>
      <c r="I1464">
        <v>25.38</v>
      </c>
    </row>
    <row r="1465" spans="1:9" ht="12.75">
      <c r="A1465">
        <v>1460</v>
      </c>
      <c r="B1465" t="s">
        <v>778</v>
      </c>
      <c r="C1465" t="s">
        <v>2124</v>
      </c>
      <c r="D1465" t="s">
        <v>3031</v>
      </c>
      <c r="E1465" t="s">
        <v>3032</v>
      </c>
      <c r="F1465" t="str">
        <f>"41/54"</f>
        <v>41/54</v>
      </c>
      <c r="G1465" t="s">
        <v>0</v>
      </c>
      <c r="H1465" t="s">
        <v>2125</v>
      </c>
      <c r="I1465">
        <v>25.38</v>
      </c>
    </row>
    <row r="1466" spans="1:9" ht="12.75">
      <c r="A1466">
        <v>1461</v>
      </c>
      <c r="B1466" t="s">
        <v>2126</v>
      </c>
      <c r="C1466" t="s">
        <v>2127</v>
      </c>
      <c r="D1466" t="s">
        <v>3031</v>
      </c>
      <c r="E1466" t="s">
        <v>3032</v>
      </c>
      <c r="F1466" t="str">
        <f>"42/54"</f>
        <v>42/54</v>
      </c>
      <c r="G1466" t="s">
        <v>0</v>
      </c>
      <c r="H1466" t="s">
        <v>2128</v>
      </c>
      <c r="I1466">
        <v>25.37</v>
      </c>
    </row>
    <row r="1467" spans="1:9" ht="12.75">
      <c r="A1467">
        <v>1462</v>
      </c>
      <c r="B1467" t="s">
        <v>2129</v>
      </c>
      <c r="C1467" t="s">
        <v>5490</v>
      </c>
      <c r="D1467" t="s">
        <v>3031</v>
      </c>
      <c r="E1467" t="s">
        <v>3032</v>
      </c>
      <c r="F1467" t="str">
        <f>"43/54"</f>
        <v>43/54</v>
      </c>
      <c r="G1467" t="s">
        <v>2130</v>
      </c>
      <c r="H1467" t="s">
        <v>2131</v>
      </c>
      <c r="I1467">
        <v>25.35</v>
      </c>
    </row>
    <row r="1468" spans="1:9" ht="12.75">
      <c r="A1468">
        <v>1463</v>
      </c>
      <c r="B1468" t="s">
        <v>2132</v>
      </c>
      <c r="C1468" t="s">
        <v>5256</v>
      </c>
      <c r="D1468" t="s">
        <v>2780</v>
      </c>
      <c r="E1468" t="s">
        <v>2799</v>
      </c>
      <c r="F1468" t="str">
        <f>"92/99"</f>
        <v>92/99</v>
      </c>
      <c r="G1468" t="s">
        <v>5549</v>
      </c>
      <c r="H1468" t="s">
        <v>2133</v>
      </c>
      <c r="I1468">
        <v>25.35</v>
      </c>
    </row>
    <row r="1469" spans="1:9" ht="12.75">
      <c r="A1469">
        <v>1464</v>
      </c>
      <c r="B1469" t="s">
        <v>2134</v>
      </c>
      <c r="C1469" t="s">
        <v>2814</v>
      </c>
      <c r="D1469" t="s">
        <v>2780</v>
      </c>
      <c r="E1469" t="s">
        <v>2781</v>
      </c>
      <c r="F1469" t="str">
        <f>"312/329"</f>
        <v>312/329</v>
      </c>
      <c r="G1469" t="s">
        <v>2135</v>
      </c>
      <c r="H1469" t="s">
        <v>2136</v>
      </c>
      <c r="I1469">
        <v>25.34</v>
      </c>
    </row>
    <row r="1470" spans="1:9" ht="12.75">
      <c r="A1470">
        <v>1465</v>
      </c>
      <c r="B1470" t="s">
        <v>2137</v>
      </c>
      <c r="C1470" t="s">
        <v>3114</v>
      </c>
      <c r="D1470" t="s">
        <v>2780</v>
      </c>
      <c r="E1470" t="s">
        <v>2973</v>
      </c>
      <c r="F1470" t="str">
        <f>"134/167"</f>
        <v>134/167</v>
      </c>
      <c r="G1470" t="s">
        <v>3322</v>
      </c>
      <c r="H1470" t="s">
        <v>2138</v>
      </c>
      <c r="I1470">
        <v>25.33</v>
      </c>
    </row>
    <row r="1471" spans="1:9" ht="12.75">
      <c r="A1471">
        <v>1466</v>
      </c>
      <c r="B1471" t="s">
        <v>2139</v>
      </c>
      <c r="C1471" t="s">
        <v>2865</v>
      </c>
      <c r="D1471" t="s">
        <v>2780</v>
      </c>
      <c r="E1471" t="s">
        <v>2823</v>
      </c>
      <c r="F1471" t="str">
        <f>"475/504"</f>
        <v>475/504</v>
      </c>
      <c r="G1471" t="s">
        <v>2140</v>
      </c>
      <c r="H1471" t="s">
        <v>2141</v>
      </c>
      <c r="I1471">
        <v>25.33</v>
      </c>
    </row>
    <row r="1472" spans="1:9" ht="12.75">
      <c r="A1472">
        <v>1467</v>
      </c>
      <c r="B1472" t="s">
        <v>2142</v>
      </c>
      <c r="C1472" t="s">
        <v>2895</v>
      </c>
      <c r="D1472" t="s">
        <v>2780</v>
      </c>
      <c r="E1472" t="s">
        <v>2823</v>
      </c>
      <c r="F1472" t="str">
        <f>"476/504"</f>
        <v>476/504</v>
      </c>
      <c r="G1472" t="s">
        <v>2114</v>
      </c>
      <c r="H1472" t="s">
        <v>2143</v>
      </c>
      <c r="I1472">
        <v>25.32</v>
      </c>
    </row>
    <row r="1473" spans="1:9" ht="12.75">
      <c r="A1473">
        <v>1468</v>
      </c>
      <c r="B1473" t="s">
        <v>2144</v>
      </c>
      <c r="C1473" t="s">
        <v>2836</v>
      </c>
      <c r="D1473" t="s">
        <v>2780</v>
      </c>
      <c r="E1473" t="s">
        <v>2799</v>
      </c>
      <c r="F1473" t="str">
        <f>"93/99"</f>
        <v>93/99</v>
      </c>
      <c r="G1473" t="s">
        <v>2858</v>
      </c>
      <c r="H1473" t="s">
        <v>2145</v>
      </c>
      <c r="I1473">
        <v>25.31</v>
      </c>
    </row>
    <row r="1474" spans="1:9" ht="12.75">
      <c r="A1474">
        <v>1469</v>
      </c>
      <c r="B1474" t="s">
        <v>2146</v>
      </c>
      <c r="C1474" t="s">
        <v>1779</v>
      </c>
      <c r="D1474" t="s">
        <v>3031</v>
      </c>
      <c r="E1474" t="s">
        <v>3244</v>
      </c>
      <c r="F1474" t="str">
        <f>"39/63"</f>
        <v>39/63</v>
      </c>
      <c r="G1474" t="s">
        <v>2130</v>
      </c>
      <c r="H1474" t="s">
        <v>2147</v>
      </c>
      <c r="I1474">
        <v>25.29</v>
      </c>
    </row>
    <row r="1475" spans="1:9" ht="12.75">
      <c r="A1475">
        <v>1470</v>
      </c>
      <c r="B1475" t="s">
        <v>2148</v>
      </c>
      <c r="C1475" t="s">
        <v>967</v>
      </c>
      <c r="D1475" t="s">
        <v>3031</v>
      </c>
      <c r="E1475" t="s">
        <v>3244</v>
      </c>
      <c r="F1475" t="str">
        <f>"40/63"</f>
        <v>40/63</v>
      </c>
      <c r="G1475" t="s">
        <v>2130</v>
      </c>
      <c r="H1475" t="s">
        <v>2149</v>
      </c>
      <c r="I1475">
        <v>25.28</v>
      </c>
    </row>
    <row r="1476" spans="1:9" ht="12.75">
      <c r="A1476">
        <v>1471</v>
      </c>
      <c r="B1476" t="s">
        <v>2150</v>
      </c>
      <c r="C1476" t="s">
        <v>2865</v>
      </c>
      <c r="D1476" t="s">
        <v>2780</v>
      </c>
      <c r="E1476" t="s">
        <v>2818</v>
      </c>
      <c r="F1476" t="str">
        <f>"267/307"</f>
        <v>267/307</v>
      </c>
      <c r="G1476" t="s">
        <v>3261</v>
      </c>
      <c r="H1476" t="s">
        <v>2151</v>
      </c>
      <c r="I1476">
        <v>25.28</v>
      </c>
    </row>
    <row r="1477" spans="1:9" ht="12.75">
      <c r="A1477">
        <v>1472</v>
      </c>
      <c r="B1477" t="s">
        <v>2152</v>
      </c>
      <c r="C1477" t="s">
        <v>2153</v>
      </c>
      <c r="D1477" t="s">
        <v>3031</v>
      </c>
      <c r="E1477" t="s">
        <v>3032</v>
      </c>
      <c r="F1477" t="str">
        <f>"44/54"</f>
        <v>44/54</v>
      </c>
      <c r="G1477" t="s">
        <v>3261</v>
      </c>
      <c r="H1477" t="s">
        <v>2154</v>
      </c>
      <c r="I1477">
        <v>25.27</v>
      </c>
    </row>
    <row r="1478" spans="1:9" ht="12.75">
      <c r="A1478">
        <v>1473</v>
      </c>
      <c r="B1478" t="s">
        <v>2155</v>
      </c>
      <c r="C1478" t="s">
        <v>2156</v>
      </c>
      <c r="D1478" t="s">
        <v>3031</v>
      </c>
      <c r="E1478" t="s">
        <v>3244</v>
      </c>
      <c r="F1478" t="str">
        <f>"41/63"</f>
        <v>41/63</v>
      </c>
      <c r="G1478" t="s">
        <v>3261</v>
      </c>
      <c r="H1478" t="s">
        <v>2157</v>
      </c>
      <c r="I1478">
        <v>25.27</v>
      </c>
    </row>
    <row r="1479" spans="1:9" ht="12.75">
      <c r="A1479">
        <v>1474</v>
      </c>
      <c r="B1479" t="s">
        <v>2158</v>
      </c>
      <c r="C1479" t="s">
        <v>465</v>
      </c>
      <c r="D1479" t="s">
        <v>3031</v>
      </c>
      <c r="E1479" t="s">
        <v>3032</v>
      </c>
      <c r="F1479" t="str">
        <f>"45/54"</f>
        <v>45/54</v>
      </c>
      <c r="G1479" t="s">
        <v>3261</v>
      </c>
      <c r="H1479" t="s">
        <v>2157</v>
      </c>
      <c r="I1479">
        <v>25.27</v>
      </c>
    </row>
    <row r="1480" spans="1:9" ht="12.75">
      <c r="A1480">
        <v>1475</v>
      </c>
      <c r="B1480" t="s">
        <v>2159</v>
      </c>
      <c r="C1480" t="s">
        <v>5490</v>
      </c>
      <c r="D1480" t="s">
        <v>3031</v>
      </c>
      <c r="E1480" t="s">
        <v>3032</v>
      </c>
      <c r="F1480" t="str">
        <f>"46/54"</f>
        <v>46/54</v>
      </c>
      <c r="G1480" t="s">
        <v>3261</v>
      </c>
      <c r="H1480" t="s">
        <v>2160</v>
      </c>
      <c r="I1480">
        <v>25.27</v>
      </c>
    </row>
    <row r="1481" spans="1:9" ht="12.75">
      <c r="A1481">
        <v>1476</v>
      </c>
      <c r="B1481" t="s">
        <v>2161</v>
      </c>
      <c r="C1481" t="s">
        <v>2162</v>
      </c>
      <c r="D1481" t="s">
        <v>3031</v>
      </c>
      <c r="E1481" t="s">
        <v>3032</v>
      </c>
      <c r="F1481" t="str">
        <f>"47/54"</f>
        <v>47/54</v>
      </c>
      <c r="G1481" t="s">
        <v>3261</v>
      </c>
      <c r="H1481" t="s">
        <v>2163</v>
      </c>
      <c r="I1481">
        <v>25.26</v>
      </c>
    </row>
    <row r="1482" spans="1:9" ht="12.75">
      <c r="A1482">
        <v>1477</v>
      </c>
      <c r="B1482" t="s">
        <v>2164</v>
      </c>
      <c r="C1482" t="s">
        <v>749</v>
      </c>
      <c r="D1482" t="s">
        <v>3031</v>
      </c>
      <c r="E1482" t="s">
        <v>3032</v>
      </c>
      <c r="F1482" t="str">
        <f>"48/54"</f>
        <v>48/54</v>
      </c>
      <c r="G1482" t="s">
        <v>3261</v>
      </c>
      <c r="H1482" t="s">
        <v>2165</v>
      </c>
      <c r="I1482">
        <v>25.26</v>
      </c>
    </row>
    <row r="1483" spans="1:9" ht="12.75">
      <c r="A1483">
        <v>1478</v>
      </c>
      <c r="B1483" t="s">
        <v>2166</v>
      </c>
      <c r="C1483" t="s">
        <v>2167</v>
      </c>
      <c r="D1483" t="s">
        <v>3031</v>
      </c>
      <c r="E1483" t="s">
        <v>3244</v>
      </c>
      <c r="F1483" t="str">
        <f>"42/63"</f>
        <v>42/63</v>
      </c>
      <c r="G1483" t="s">
        <v>3261</v>
      </c>
      <c r="H1483" t="s">
        <v>2168</v>
      </c>
      <c r="I1483">
        <v>25.26</v>
      </c>
    </row>
    <row r="1484" spans="1:9" ht="12.75">
      <c r="A1484">
        <v>1479</v>
      </c>
      <c r="B1484" t="s">
        <v>2169</v>
      </c>
      <c r="C1484" t="s">
        <v>293</v>
      </c>
      <c r="D1484" t="s">
        <v>3031</v>
      </c>
      <c r="E1484" t="s">
        <v>3244</v>
      </c>
      <c r="F1484" t="str">
        <f>"43/63"</f>
        <v>43/63</v>
      </c>
      <c r="G1484" t="s">
        <v>3261</v>
      </c>
      <c r="H1484" t="s">
        <v>2170</v>
      </c>
      <c r="I1484">
        <v>25.26</v>
      </c>
    </row>
    <row r="1485" spans="1:9" ht="12.75">
      <c r="A1485">
        <v>1480</v>
      </c>
      <c r="B1485" t="s">
        <v>2171</v>
      </c>
      <c r="C1485" t="s">
        <v>2991</v>
      </c>
      <c r="D1485" t="s">
        <v>2780</v>
      </c>
      <c r="E1485" t="s">
        <v>2799</v>
      </c>
      <c r="F1485" t="str">
        <f>"94/99"</f>
        <v>94/99</v>
      </c>
      <c r="G1485" t="s">
        <v>3261</v>
      </c>
      <c r="H1485" t="s">
        <v>2172</v>
      </c>
      <c r="I1485">
        <v>25.26</v>
      </c>
    </row>
    <row r="1486" spans="1:9" ht="12.75">
      <c r="A1486">
        <v>1481</v>
      </c>
      <c r="B1486" t="s">
        <v>2173</v>
      </c>
      <c r="C1486" t="s">
        <v>1583</v>
      </c>
      <c r="D1486" t="s">
        <v>3031</v>
      </c>
      <c r="E1486" t="s">
        <v>3244</v>
      </c>
      <c r="F1486" t="str">
        <f>"44/63"</f>
        <v>44/63</v>
      </c>
      <c r="G1486" t="s">
        <v>3261</v>
      </c>
      <c r="H1486" t="s">
        <v>2172</v>
      </c>
      <c r="I1486">
        <v>25.26</v>
      </c>
    </row>
    <row r="1487" spans="1:9" ht="12.75">
      <c r="A1487">
        <v>1482</v>
      </c>
      <c r="B1487" t="s">
        <v>2174</v>
      </c>
      <c r="C1487" t="s">
        <v>3008</v>
      </c>
      <c r="D1487" t="s">
        <v>2780</v>
      </c>
      <c r="E1487" t="s">
        <v>2823</v>
      </c>
      <c r="F1487" t="str">
        <f>"477/504"</f>
        <v>477/504</v>
      </c>
      <c r="G1487" t="s">
        <v>3261</v>
      </c>
      <c r="H1487" t="s">
        <v>2175</v>
      </c>
      <c r="I1487">
        <v>25.22</v>
      </c>
    </row>
    <row r="1488" spans="1:9" ht="12.75">
      <c r="A1488">
        <v>1483</v>
      </c>
      <c r="B1488" t="s">
        <v>2176</v>
      </c>
      <c r="C1488" t="s">
        <v>54</v>
      </c>
      <c r="D1488" t="s">
        <v>2780</v>
      </c>
      <c r="E1488" t="s">
        <v>3209</v>
      </c>
      <c r="F1488" t="str">
        <f>"41/62"</f>
        <v>41/62</v>
      </c>
      <c r="G1488" t="s">
        <v>446</v>
      </c>
      <c r="H1488" t="s">
        <v>2177</v>
      </c>
      <c r="I1488">
        <v>25.19</v>
      </c>
    </row>
    <row r="1489" spans="1:9" ht="12.75">
      <c r="A1489">
        <v>1484</v>
      </c>
      <c r="B1489" t="s">
        <v>2178</v>
      </c>
      <c r="C1489" t="s">
        <v>2857</v>
      </c>
      <c r="D1489" t="s">
        <v>2780</v>
      </c>
      <c r="E1489" t="s">
        <v>2781</v>
      </c>
      <c r="F1489" t="str">
        <f>"313/329"</f>
        <v>313/329</v>
      </c>
      <c r="G1489" t="s">
        <v>4874</v>
      </c>
      <c r="H1489" t="s">
        <v>2179</v>
      </c>
      <c r="I1489">
        <v>25.17</v>
      </c>
    </row>
    <row r="1490" spans="1:9" ht="12.75">
      <c r="A1490">
        <v>1485</v>
      </c>
      <c r="B1490" t="s">
        <v>2180</v>
      </c>
      <c r="C1490" t="s">
        <v>2868</v>
      </c>
      <c r="D1490" t="s">
        <v>2780</v>
      </c>
      <c r="E1490" t="s">
        <v>2823</v>
      </c>
      <c r="F1490" t="str">
        <f>"478/504"</f>
        <v>478/504</v>
      </c>
      <c r="G1490" t="s">
        <v>3261</v>
      </c>
      <c r="H1490" t="s">
        <v>2181</v>
      </c>
      <c r="I1490">
        <v>25.16</v>
      </c>
    </row>
    <row r="1491" spans="1:9" ht="12.75">
      <c r="A1491">
        <v>1486</v>
      </c>
      <c r="B1491" t="s">
        <v>2182</v>
      </c>
      <c r="C1491" t="s">
        <v>2183</v>
      </c>
      <c r="D1491" t="s">
        <v>2780</v>
      </c>
      <c r="E1491" t="s">
        <v>2799</v>
      </c>
      <c r="F1491" t="str">
        <f>"95/99"</f>
        <v>95/99</v>
      </c>
      <c r="G1491" t="s">
        <v>3252</v>
      </c>
      <c r="H1491" t="s">
        <v>2181</v>
      </c>
      <c r="I1491">
        <v>25.16</v>
      </c>
    </row>
    <row r="1492" spans="1:9" ht="12.75">
      <c r="A1492">
        <v>1487</v>
      </c>
      <c r="B1492" t="s">
        <v>2184</v>
      </c>
      <c r="C1492" t="s">
        <v>615</v>
      </c>
      <c r="D1492" t="s">
        <v>2780</v>
      </c>
      <c r="E1492" t="s">
        <v>2823</v>
      </c>
      <c r="F1492" t="str">
        <f>"479/504"</f>
        <v>479/504</v>
      </c>
      <c r="G1492" t="s">
        <v>2982</v>
      </c>
      <c r="H1492" t="s">
        <v>2185</v>
      </c>
      <c r="I1492">
        <v>25.16</v>
      </c>
    </row>
    <row r="1493" spans="1:9" ht="12.75">
      <c r="A1493">
        <v>1488</v>
      </c>
      <c r="B1493" t="s">
        <v>2186</v>
      </c>
      <c r="C1493" t="s">
        <v>2861</v>
      </c>
      <c r="D1493" t="s">
        <v>2780</v>
      </c>
      <c r="E1493" t="s">
        <v>2823</v>
      </c>
      <c r="F1493" t="str">
        <f>"480/504"</f>
        <v>480/504</v>
      </c>
      <c r="G1493" t="s">
        <v>3261</v>
      </c>
      <c r="H1493" t="s">
        <v>2187</v>
      </c>
      <c r="I1493">
        <v>25.16</v>
      </c>
    </row>
    <row r="1494" spans="1:9" ht="12.75">
      <c r="A1494">
        <v>1489</v>
      </c>
      <c r="B1494" t="s">
        <v>467</v>
      </c>
      <c r="C1494" t="s">
        <v>2895</v>
      </c>
      <c r="D1494" t="s">
        <v>2780</v>
      </c>
      <c r="E1494" t="s">
        <v>2781</v>
      </c>
      <c r="F1494" t="str">
        <f>"314/329"</f>
        <v>314/329</v>
      </c>
      <c r="G1494" t="s">
        <v>3099</v>
      </c>
      <c r="H1494" t="s">
        <v>2188</v>
      </c>
      <c r="I1494">
        <v>25.16</v>
      </c>
    </row>
    <row r="1495" spans="1:9" ht="12.75">
      <c r="A1495">
        <v>1490</v>
      </c>
      <c r="B1495" t="s">
        <v>2189</v>
      </c>
      <c r="C1495" t="s">
        <v>1830</v>
      </c>
      <c r="D1495" t="s">
        <v>2780</v>
      </c>
      <c r="E1495" t="s">
        <v>2823</v>
      </c>
      <c r="F1495" t="str">
        <f>"481/504"</f>
        <v>481/504</v>
      </c>
      <c r="G1495" t="s">
        <v>3261</v>
      </c>
      <c r="H1495" t="s">
        <v>2190</v>
      </c>
      <c r="I1495">
        <v>25.16</v>
      </c>
    </row>
    <row r="1496" spans="1:9" ht="12.75">
      <c r="A1496">
        <v>1491</v>
      </c>
      <c r="B1496" t="s">
        <v>2191</v>
      </c>
      <c r="C1496" t="s">
        <v>2192</v>
      </c>
      <c r="D1496" t="s">
        <v>2780</v>
      </c>
      <c r="E1496" t="s">
        <v>2823</v>
      </c>
      <c r="F1496" t="str">
        <f>"482/504"</f>
        <v>482/504</v>
      </c>
      <c r="G1496" t="s">
        <v>3261</v>
      </c>
      <c r="H1496" t="s">
        <v>2193</v>
      </c>
      <c r="I1496">
        <v>25.16</v>
      </c>
    </row>
    <row r="1497" spans="1:9" ht="12.75">
      <c r="A1497">
        <v>1492</v>
      </c>
      <c r="B1497" t="s">
        <v>2194</v>
      </c>
      <c r="C1497" t="s">
        <v>3164</v>
      </c>
      <c r="D1497" t="s">
        <v>2780</v>
      </c>
      <c r="E1497" t="s">
        <v>2781</v>
      </c>
      <c r="F1497" t="str">
        <f>"315/329"</f>
        <v>315/329</v>
      </c>
      <c r="G1497" t="s">
        <v>3261</v>
      </c>
      <c r="H1497" t="s">
        <v>2195</v>
      </c>
      <c r="I1497">
        <v>25.16</v>
      </c>
    </row>
    <row r="1498" spans="1:9" ht="12.75">
      <c r="A1498">
        <v>1493</v>
      </c>
      <c r="B1498" t="s">
        <v>2196</v>
      </c>
      <c r="C1498" t="s">
        <v>2197</v>
      </c>
      <c r="D1498" t="s">
        <v>2780</v>
      </c>
      <c r="E1498" t="s">
        <v>3209</v>
      </c>
      <c r="F1498" t="str">
        <f>"42/62"</f>
        <v>42/62</v>
      </c>
      <c r="G1498" t="s">
        <v>2198</v>
      </c>
      <c r="H1498" t="s">
        <v>2199</v>
      </c>
      <c r="I1498">
        <v>25.15</v>
      </c>
    </row>
    <row r="1499" spans="1:9" ht="12.75">
      <c r="A1499">
        <v>1494</v>
      </c>
      <c r="B1499" t="s">
        <v>408</v>
      </c>
      <c r="C1499" t="s">
        <v>615</v>
      </c>
      <c r="D1499" t="s">
        <v>2780</v>
      </c>
      <c r="E1499" t="s">
        <v>2818</v>
      </c>
      <c r="F1499" t="str">
        <f>"268/307"</f>
        <v>268/307</v>
      </c>
      <c r="G1499" t="s">
        <v>3099</v>
      </c>
      <c r="H1499" t="s">
        <v>2200</v>
      </c>
      <c r="I1499">
        <v>25.14</v>
      </c>
    </row>
    <row r="1500" spans="1:9" ht="12.75">
      <c r="A1500">
        <v>1495</v>
      </c>
      <c r="B1500" t="s">
        <v>2201</v>
      </c>
      <c r="C1500" t="s">
        <v>3464</v>
      </c>
      <c r="D1500" t="s">
        <v>2780</v>
      </c>
      <c r="E1500" t="s">
        <v>2799</v>
      </c>
      <c r="F1500" t="str">
        <f>"96/99"</f>
        <v>96/99</v>
      </c>
      <c r="G1500" t="s">
        <v>2202</v>
      </c>
      <c r="H1500" t="s">
        <v>2203</v>
      </c>
      <c r="I1500">
        <v>25.13</v>
      </c>
    </row>
    <row r="1501" spans="1:9" ht="12.75">
      <c r="A1501">
        <v>1496</v>
      </c>
      <c r="B1501" t="s">
        <v>2204</v>
      </c>
      <c r="C1501" t="s">
        <v>2906</v>
      </c>
      <c r="D1501" t="s">
        <v>2780</v>
      </c>
      <c r="E1501" t="s">
        <v>2973</v>
      </c>
      <c r="F1501" t="str">
        <f>"135/167"</f>
        <v>135/167</v>
      </c>
      <c r="G1501" t="s">
        <v>5062</v>
      </c>
      <c r="H1501" t="s">
        <v>2205</v>
      </c>
      <c r="I1501">
        <v>25.13</v>
      </c>
    </row>
    <row r="1502" spans="1:9" ht="12.75">
      <c r="A1502">
        <v>1497</v>
      </c>
      <c r="B1502" t="s">
        <v>5306</v>
      </c>
      <c r="C1502" t="s">
        <v>2861</v>
      </c>
      <c r="D1502" t="s">
        <v>2780</v>
      </c>
      <c r="E1502" t="s">
        <v>2781</v>
      </c>
      <c r="F1502" t="str">
        <f>"316/329"</f>
        <v>316/329</v>
      </c>
      <c r="G1502" t="s">
        <v>4874</v>
      </c>
      <c r="H1502" t="s">
        <v>2206</v>
      </c>
      <c r="I1502">
        <v>25.13</v>
      </c>
    </row>
    <row r="1503" spans="1:9" ht="12.75">
      <c r="A1503">
        <v>1498</v>
      </c>
      <c r="B1503" t="s">
        <v>2207</v>
      </c>
      <c r="C1503" t="s">
        <v>3464</v>
      </c>
      <c r="D1503" t="s">
        <v>2780</v>
      </c>
      <c r="E1503" t="s">
        <v>2818</v>
      </c>
      <c r="F1503" t="str">
        <f>"269/307"</f>
        <v>269/307</v>
      </c>
      <c r="G1503" t="s">
        <v>2208</v>
      </c>
      <c r="H1503" t="s">
        <v>2209</v>
      </c>
      <c r="I1503">
        <v>25.13</v>
      </c>
    </row>
    <row r="1504" spans="1:9" ht="12.75">
      <c r="A1504">
        <v>1499</v>
      </c>
      <c r="B1504" t="s">
        <v>2210</v>
      </c>
      <c r="C1504" t="s">
        <v>3057</v>
      </c>
      <c r="D1504" t="s">
        <v>2780</v>
      </c>
      <c r="E1504" t="s">
        <v>2823</v>
      </c>
      <c r="F1504" t="str">
        <f>"483/504"</f>
        <v>483/504</v>
      </c>
      <c r="G1504" t="s">
        <v>5062</v>
      </c>
      <c r="H1504" t="s">
        <v>2209</v>
      </c>
      <c r="I1504">
        <v>25.13</v>
      </c>
    </row>
    <row r="1505" spans="1:9" ht="12.75">
      <c r="A1505">
        <v>1500</v>
      </c>
      <c r="B1505" t="s">
        <v>2121</v>
      </c>
      <c r="C1505" t="s">
        <v>1759</v>
      </c>
      <c r="D1505" t="s">
        <v>3031</v>
      </c>
      <c r="E1505" t="s">
        <v>3244</v>
      </c>
      <c r="F1505" t="str">
        <f>"45/63"</f>
        <v>45/63</v>
      </c>
      <c r="G1505" t="s">
        <v>3261</v>
      </c>
      <c r="H1505" t="s">
        <v>2211</v>
      </c>
      <c r="I1505">
        <v>25.12</v>
      </c>
    </row>
    <row r="1506" spans="1:9" ht="12.75">
      <c r="A1506">
        <v>1501</v>
      </c>
      <c r="B1506" t="s">
        <v>2212</v>
      </c>
      <c r="C1506" t="s">
        <v>2213</v>
      </c>
      <c r="D1506" t="s">
        <v>3031</v>
      </c>
      <c r="E1506" t="s">
        <v>3244</v>
      </c>
      <c r="F1506" t="str">
        <f>"46/63"</f>
        <v>46/63</v>
      </c>
      <c r="G1506" t="s">
        <v>697</v>
      </c>
      <c r="H1506" t="s">
        <v>2214</v>
      </c>
      <c r="I1506">
        <v>25.12</v>
      </c>
    </row>
    <row r="1507" spans="1:9" ht="12.75">
      <c r="A1507">
        <v>1502</v>
      </c>
      <c r="B1507" t="s">
        <v>2215</v>
      </c>
      <c r="C1507" t="s">
        <v>2216</v>
      </c>
      <c r="D1507" t="s">
        <v>2780</v>
      </c>
      <c r="E1507" t="s">
        <v>2973</v>
      </c>
      <c r="F1507" t="str">
        <f>"136/167"</f>
        <v>136/167</v>
      </c>
      <c r="G1507" t="s">
        <v>5523</v>
      </c>
      <c r="H1507" t="s">
        <v>2217</v>
      </c>
      <c r="I1507">
        <v>25.1</v>
      </c>
    </row>
    <row r="1508" spans="1:9" ht="12.75">
      <c r="A1508">
        <v>1503</v>
      </c>
      <c r="B1508" t="s">
        <v>2218</v>
      </c>
      <c r="C1508" t="s">
        <v>3091</v>
      </c>
      <c r="D1508" t="s">
        <v>2780</v>
      </c>
      <c r="E1508" t="s">
        <v>2973</v>
      </c>
      <c r="F1508" t="str">
        <f>"137/167"</f>
        <v>137/167</v>
      </c>
      <c r="G1508" t="s">
        <v>2219</v>
      </c>
      <c r="H1508" t="s">
        <v>2220</v>
      </c>
      <c r="I1508">
        <v>25.1</v>
      </c>
    </row>
    <row r="1509" spans="1:9" ht="12.75">
      <c r="A1509">
        <v>1504</v>
      </c>
      <c r="B1509" t="s">
        <v>2221</v>
      </c>
      <c r="C1509" t="s">
        <v>3633</v>
      </c>
      <c r="D1509" t="s">
        <v>2780</v>
      </c>
      <c r="E1509" t="s">
        <v>2973</v>
      </c>
      <c r="F1509" t="str">
        <f>"138/167"</f>
        <v>138/167</v>
      </c>
      <c r="G1509" t="s">
        <v>3516</v>
      </c>
      <c r="H1509" t="s">
        <v>2222</v>
      </c>
      <c r="I1509">
        <v>25.09</v>
      </c>
    </row>
    <row r="1510" spans="1:9" ht="12.75">
      <c r="A1510">
        <v>1505</v>
      </c>
      <c r="B1510" t="s">
        <v>5334</v>
      </c>
      <c r="C1510" t="s">
        <v>3346</v>
      </c>
      <c r="D1510" t="s">
        <v>2780</v>
      </c>
      <c r="E1510" t="s">
        <v>2818</v>
      </c>
      <c r="F1510" t="str">
        <f>"270/307"</f>
        <v>270/307</v>
      </c>
      <c r="G1510" t="s">
        <v>1684</v>
      </c>
      <c r="H1510" t="s">
        <v>2223</v>
      </c>
      <c r="I1510">
        <v>25.09</v>
      </c>
    </row>
    <row r="1511" spans="1:9" ht="12.75">
      <c r="A1511">
        <v>1506</v>
      </c>
      <c r="B1511" t="s">
        <v>2224</v>
      </c>
      <c r="C1511" t="s">
        <v>2807</v>
      </c>
      <c r="D1511" t="s">
        <v>2780</v>
      </c>
      <c r="E1511" t="s">
        <v>2781</v>
      </c>
      <c r="F1511" t="str">
        <f>"317/329"</f>
        <v>317/329</v>
      </c>
      <c r="G1511" t="s">
        <v>2048</v>
      </c>
      <c r="H1511" t="s">
        <v>2225</v>
      </c>
      <c r="I1511">
        <v>25.07</v>
      </c>
    </row>
    <row r="1512" spans="1:9" ht="12.75">
      <c r="A1512">
        <v>1507</v>
      </c>
      <c r="B1512" t="s">
        <v>5351</v>
      </c>
      <c r="C1512" t="s">
        <v>2840</v>
      </c>
      <c r="D1512" t="s">
        <v>2780</v>
      </c>
      <c r="E1512" t="s">
        <v>2818</v>
      </c>
      <c r="F1512" t="str">
        <f>"271/307"</f>
        <v>271/307</v>
      </c>
      <c r="G1512" t="s">
        <v>2226</v>
      </c>
      <c r="H1512" t="s">
        <v>2227</v>
      </c>
      <c r="I1512">
        <v>25.06</v>
      </c>
    </row>
    <row r="1513" spans="1:9" ht="12.75">
      <c r="A1513">
        <v>1508</v>
      </c>
      <c r="B1513" t="s">
        <v>3447</v>
      </c>
      <c r="C1513" t="s">
        <v>2861</v>
      </c>
      <c r="D1513" t="s">
        <v>2780</v>
      </c>
      <c r="E1513" t="s">
        <v>2823</v>
      </c>
      <c r="F1513" t="str">
        <f>"484/504"</f>
        <v>484/504</v>
      </c>
      <c r="G1513" t="s">
        <v>2226</v>
      </c>
      <c r="H1513" t="s">
        <v>2228</v>
      </c>
      <c r="I1513">
        <v>25.06</v>
      </c>
    </row>
    <row r="1514" spans="1:9" ht="12.75">
      <c r="A1514">
        <v>1509</v>
      </c>
      <c r="B1514" t="s">
        <v>2229</v>
      </c>
      <c r="C1514" t="s">
        <v>5593</v>
      </c>
      <c r="D1514" t="s">
        <v>2780</v>
      </c>
      <c r="E1514" t="s">
        <v>2818</v>
      </c>
      <c r="F1514" t="str">
        <f>"272/307"</f>
        <v>272/307</v>
      </c>
      <c r="G1514" t="s">
        <v>2230</v>
      </c>
      <c r="H1514" t="s">
        <v>2231</v>
      </c>
      <c r="I1514">
        <v>25.06</v>
      </c>
    </row>
    <row r="1515" spans="1:9" ht="12.75">
      <c r="A1515">
        <v>1510</v>
      </c>
      <c r="B1515" t="s">
        <v>3191</v>
      </c>
      <c r="C1515" t="s">
        <v>3286</v>
      </c>
      <c r="D1515" t="s">
        <v>2780</v>
      </c>
      <c r="E1515" t="s">
        <v>2818</v>
      </c>
      <c r="F1515" t="str">
        <f>"273/307"</f>
        <v>273/307</v>
      </c>
      <c r="G1515" t="s">
        <v>2226</v>
      </c>
      <c r="H1515" t="s">
        <v>2232</v>
      </c>
      <c r="I1515">
        <v>25.06</v>
      </c>
    </row>
    <row r="1516" spans="1:9" ht="12.75">
      <c r="A1516">
        <v>1511</v>
      </c>
      <c r="B1516" t="s">
        <v>1804</v>
      </c>
      <c r="C1516" t="s">
        <v>3164</v>
      </c>
      <c r="D1516" t="s">
        <v>2780</v>
      </c>
      <c r="E1516" t="s">
        <v>2818</v>
      </c>
      <c r="F1516" t="str">
        <f>"274/307"</f>
        <v>274/307</v>
      </c>
      <c r="G1516" t="s">
        <v>2226</v>
      </c>
      <c r="H1516" t="s">
        <v>2233</v>
      </c>
      <c r="I1516">
        <v>25.06</v>
      </c>
    </row>
    <row r="1517" spans="1:9" ht="12.75">
      <c r="A1517">
        <v>1512</v>
      </c>
      <c r="B1517" t="s">
        <v>2191</v>
      </c>
      <c r="C1517" t="s">
        <v>1646</v>
      </c>
      <c r="D1517" t="s">
        <v>2780</v>
      </c>
      <c r="E1517" t="s">
        <v>2818</v>
      </c>
      <c r="F1517" t="str">
        <f>"275/307"</f>
        <v>275/307</v>
      </c>
      <c r="G1517" t="s">
        <v>446</v>
      </c>
      <c r="H1517" t="s">
        <v>2234</v>
      </c>
      <c r="I1517">
        <v>25.04</v>
      </c>
    </row>
    <row r="1518" spans="1:9" ht="12.75">
      <c r="A1518">
        <v>1513</v>
      </c>
      <c r="B1518" t="s">
        <v>2235</v>
      </c>
      <c r="C1518" t="s">
        <v>3114</v>
      </c>
      <c r="D1518" t="s">
        <v>2780</v>
      </c>
      <c r="E1518" t="s">
        <v>2973</v>
      </c>
      <c r="F1518" t="str">
        <f>"139/167"</f>
        <v>139/167</v>
      </c>
      <c r="G1518" t="s">
        <v>2936</v>
      </c>
      <c r="H1518" t="s">
        <v>2236</v>
      </c>
      <c r="I1518">
        <v>25.03</v>
      </c>
    </row>
    <row r="1519" spans="1:9" ht="12.75">
      <c r="A1519">
        <v>1514</v>
      </c>
      <c r="B1519" t="s">
        <v>2797</v>
      </c>
      <c r="C1519" t="s">
        <v>2902</v>
      </c>
      <c r="D1519" t="s">
        <v>2780</v>
      </c>
      <c r="E1519" t="s">
        <v>2818</v>
      </c>
      <c r="F1519" t="str">
        <f>"276/307"</f>
        <v>276/307</v>
      </c>
      <c r="G1519" t="s">
        <v>604</v>
      </c>
      <c r="H1519" t="s">
        <v>2237</v>
      </c>
      <c r="I1519">
        <v>25.02</v>
      </c>
    </row>
    <row r="1520" spans="1:9" ht="12.75">
      <c r="A1520">
        <v>1515</v>
      </c>
      <c r="B1520" t="s">
        <v>2238</v>
      </c>
      <c r="C1520" t="s">
        <v>2239</v>
      </c>
      <c r="D1520" t="s">
        <v>2780</v>
      </c>
      <c r="E1520" t="s">
        <v>2973</v>
      </c>
      <c r="F1520" t="str">
        <f>"140/167"</f>
        <v>140/167</v>
      </c>
      <c r="G1520" t="s">
        <v>2787</v>
      </c>
      <c r="H1520" t="s">
        <v>2240</v>
      </c>
      <c r="I1520">
        <v>25</v>
      </c>
    </row>
    <row r="1521" spans="1:9" ht="12.75">
      <c r="A1521">
        <v>1516</v>
      </c>
      <c r="B1521" t="s">
        <v>2241</v>
      </c>
      <c r="C1521" t="s">
        <v>3123</v>
      </c>
      <c r="D1521" t="s">
        <v>2780</v>
      </c>
      <c r="E1521" t="s">
        <v>3209</v>
      </c>
      <c r="F1521" t="str">
        <f>"43/62"</f>
        <v>43/62</v>
      </c>
      <c r="G1521" t="s">
        <v>556</v>
      </c>
      <c r="H1521" t="s">
        <v>2242</v>
      </c>
      <c r="I1521">
        <v>24.96</v>
      </c>
    </row>
    <row r="1522" spans="1:9" ht="12.75">
      <c r="A1522">
        <v>1517</v>
      </c>
      <c r="B1522" t="s">
        <v>5051</v>
      </c>
      <c r="C1522" t="s">
        <v>2865</v>
      </c>
      <c r="D1522" t="s">
        <v>2780</v>
      </c>
      <c r="E1522" t="s">
        <v>2818</v>
      </c>
      <c r="F1522" t="str">
        <f>"277/307"</f>
        <v>277/307</v>
      </c>
      <c r="G1522" t="s">
        <v>2243</v>
      </c>
      <c r="H1522" t="s">
        <v>2244</v>
      </c>
      <c r="I1522">
        <v>24.96</v>
      </c>
    </row>
    <row r="1523" spans="1:9" ht="12.75">
      <c r="A1523">
        <v>1518</v>
      </c>
      <c r="B1523" t="s">
        <v>2245</v>
      </c>
      <c r="C1523" t="s">
        <v>2246</v>
      </c>
      <c r="D1523" t="s">
        <v>3031</v>
      </c>
      <c r="E1523" t="s">
        <v>3032</v>
      </c>
      <c r="F1523" t="str">
        <f>"49/54"</f>
        <v>49/54</v>
      </c>
      <c r="G1523" t="s">
        <v>2889</v>
      </c>
      <c r="H1523" t="s">
        <v>2247</v>
      </c>
      <c r="I1523">
        <v>24.95</v>
      </c>
    </row>
    <row r="1524" spans="1:9" ht="12.75">
      <c r="A1524">
        <v>1519</v>
      </c>
      <c r="B1524" t="s">
        <v>2126</v>
      </c>
      <c r="C1524" t="s">
        <v>2248</v>
      </c>
      <c r="D1524" t="s">
        <v>3031</v>
      </c>
      <c r="E1524" t="s">
        <v>3244</v>
      </c>
      <c r="F1524" t="str">
        <f>"47/63"</f>
        <v>47/63</v>
      </c>
      <c r="G1524" t="s">
        <v>2243</v>
      </c>
      <c r="H1524" t="s">
        <v>2249</v>
      </c>
      <c r="I1524">
        <v>24.94</v>
      </c>
    </row>
    <row r="1525" spans="1:9" ht="12.75">
      <c r="A1525">
        <v>1520</v>
      </c>
      <c r="B1525" t="s">
        <v>2250</v>
      </c>
      <c r="C1525" t="s">
        <v>2251</v>
      </c>
      <c r="D1525" t="s">
        <v>3031</v>
      </c>
      <c r="E1525" t="s">
        <v>3244</v>
      </c>
      <c r="F1525" t="str">
        <f>"48/63"</f>
        <v>48/63</v>
      </c>
      <c r="G1525" t="s">
        <v>2252</v>
      </c>
      <c r="H1525" t="s">
        <v>2253</v>
      </c>
      <c r="I1525">
        <v>24.94</v>
      </c>
    </row>
    <row r="1526" spans="1:9" ht="12.75">
      <c r="A1526">
        <v>1521</v>
      </c>
      <c r="B1526" t="s">
        <v>2254</v>
      </c>
      <c r="C1526" t="s">
        <v>2807</v>
      </c>
      <c r="D1526" t="s">
        <v>2780</v>
      </c>
      <c r="E1526" t="s">
        <v>2973</v>
      </c>
      <c r="F1526" t="str">
        <f>"141/167"</f>
        <v>141/167</v>
      </c>
      <c r="G1526" t="s">
        <v>2255</v>
      </c>
      <c r="H1526" t="s">
        <v>2256</v>
      </c>
      <c r="I1526">
        <v>24.93</v>
      </c>
    </row>
    <row r="1527" spans="1:9" ht="12.75">
      <c r="A1527">
        <v>1522</v>
      </c>
      <c r="B1527" t="s">
        <v>2257</v>
      </c>
      <c r="C1527" t="s">
        <v>3057</v>
      </c>
      <c r="D1527" t="s">
        <v>2780</v>
      </c>
      <c r="E1527" t="s">
        <v>2818</v>
      </c>
      <c r="F1527" t="str">
        <f>"278/307"</f>
        <v>278/307</v>
      </c>
      <c r="G1527" t="s">
        <v>1019</v>
      </c>
      <c r="H1527" t="s">
        <v>2258</v>
      </c>
      <c r="I1527">
        <v>24.93</v>
      </c>
    </row>
    <row r="1528" spans="1:9" ht="12.75">
      <c r="A1528">
        <v>1523</v>
      </c>
      <c r="B1528" t="s">
        <v>2259</v>
      </c>
      <c r="C1528" t="s">
        <v>2942</v>
      </c>
      <c r="D1528" t="s">
        <v>2780</v>
      </c>
      <c r="E1528" t="s">
        <v>2973</v>
      </c>
      <c r="F1528" t="str">
        <f>"142/167"</f>
        <v>142/167</v>
      </c>
      <c r="G1528" t="s">
        <v>2252</v>
      </c>
      <c r="H1528" t="s">
        <v>2260</v>
      </c>
      <c r="I1528">
        <v>24.93</v>
      </c>
    </row>
    <row r="1529" spans="1:9" ht="12.75">
      <c r="A1529">
        <v>1524</v>
      </c>
      <c r="B1529" t="s">
        <v>2261</v>
      </c>
      <c r="C1529" t="s">
        <v>3114</v>
      </c>
      <c r="D1529" t="s">
        <v>2780</v>
      </c>
      <c r="E1529" t="s">
        <v>3209</v>
      </c>
      <c r="F1529" t="str">
        <f>"44/62"</f>
        <v>44/62</v>
      </c>
      <c r="G1529" t="s">
        <v>2262</v>
      </c>
      <c r="H1529" t="s">
        <v>2263</v>
      </c>
      <c r="I1529">
        <v>24.92</v>
      </c>
    </row>
    <row r="1530" spans="1:9" ht="12.75">
      <c r="A1530">
        <v>1525</v>
      </c>
      <c r="B1530" t="s">
        <v>1673</v>
      </c>
      <c r="C1530" t="s">
        <v>696</v>
      </c>
      <c r="D1530" t="s">
        <v>2780</v>
      </c>
      <c r="E1530" t="s">
        <v>2973</v>
      </c>
      <c r="F1530" t="str">
        <f>"143/167"</f>
        <v>143/167</v>
      </c>
      <c r="G1530" t="s">
        <v>2264</v>
      </c>
      <c r="H1530" t="s">
        <v>2265</v>
      </c>
      <c r="I1530">
        <v>24.92</v>
      </c>
    </row>
    <row r="1531" spans="1:9" ht="12.75">
      <c r="A1531">
        <v>1526</v>
      </c>
      <c r="B1531" t="s">
        <v>2266</v>
      </c>
      <c r="C1531" t="s">
        <v>3114</v>
      </c>
      <c r="D1531" t="s">
        <v>2780</v>
      </c>
      <c r="E1531" t="s">
        <v>2823</v>
      </c>
      <c r="F1531" t="str">
        <f>"485/504"</f>
        <v>485/504</v>
      </c>
      <c r="G1531" t="s">
        <v>1837</v>
      </c>
      <c r="H1531" t="s">
        <v>2267</v>
      </c>
      <c r="I1531">
        <v>24.88</v>
      </c>
    </row>
    <row r="1532" spans="1:9" ht="12.75">
      <c r="A1532">
        <v>1527</v>
      </c>
      <c r="B1532" t="s">
        <v>2268</v>
      </c>
      <c r="C1532" t="s">
        <v>2963</v>
      </c>
      <c r="D1532" t="s">
        <v>2780</v>
      </c>
      <c r="E1532" t="s">
        <v>2818</v>
      </c>
      <c r="F1532" t="str">
        <f>"279/307"</f>
        <v>279/307</v>
      </c>
      <c r="G1532" t="s">
        <v>3516</v>
      </c>
      <c r="H1532" t="s">
        <v>2269</v>
      </c>
      <c r="I1532">
        <v>24.87</v>
      </c>
    </row>
    <row r="1533" spans="1:9" ht="12.75">
      <c r="A1533">
        <v>1528</v>
      </c>
      <c r="B1533" t="s">
        <v>3208</v>
      </c>
      <c r="C1533" t="s">
        <v>2127</v>
      </c>
      <c r="D1533" t="s">
        <v>3031</v>
      </c>
      <c r="E1533" t="s">
        <v>3244</v>
      </c>
      <c r="F1533" t="str">
        <f>"49/63"</f>
        <v>49/63</v>
      </c>
      <c r="G1533" t="s">
        <v>1608</v>
      </c>
      <c r="H1533" t="s">
        <v>2270</v>
      </c>
      <c r="I1533">
        <v>24.82</v>
      </c>
    </row>
    <row r="1534" spans="1:9" ht="12.75">
      <c r="A1534">
        <v>1529</v>
      </c>
      <c r="B1534" t="s">
        <v>4887</v>
      </c>
      <c r="C1534" t="s">
        <v>1160</v>
      </c>
      <c r="D1534" t="s">
        <v>2780</v>
      </c>
      <c r="E1534" t="s">
        <v>2818</v>
      </c>
      <c r="F1534" t="str">
        <f>"280/307"</f>
        <v>280/307</v>
      </c>
      <c r="G1534" t="s">
        <v>1570</v>
      </c>
      <c r="H1534" t="s">
        <v>2271</v>
      </c>
      <c r="I1534">
        <v>24.81</v>
      </c>
    </row>
    <row r="1535" spans="1:9" ht="12.75">
      <c r="A1535">
        <v>1530</v>
      </c>
      <c r="B1535" t="s">
        <v>2272</v>
      </c>
      <c r="C1535" t="s">
        <v>2807</v>
      </c>
      <c r="D1535" t="s">
        <v>2780</v>
      </c>
      <c r="E1535" t="s">
        <v>2823</v>
      </c>
      <c r="F1535" t="str">
        <f>"486/504"</f>
        <v>486/504</v>
      </c>
      <c r="G1535" t="s">
        <v>3450</v>
      </c>
      <c r="H1535" t="s">
        <v>2273</v>
      </c>
      <c r="I1535">
        <v>24.79</v>
      </c>
    </row>
    <row r="1536" spans="1:9" ht="12.75">
      <c r="A1536">
        <v>1531</v>
      </c>
      <c r="B1536" t="s">
        <v>2274</v>
      </c>
      <c r="C1536" t="s">
        <v>335</v>
      </c>
      <c r="D1536" t="s">
        <v>2780</v>
      </c>
      <c r="E1536" t="s">
        <v>2799</v>
      </c>
      <c r="F1536" t="str">
        <f>"97/99"</f>
        <v>97/99</v>
      </c>
      <c r="G1536" t="s">
        <v>3516</v>
      </c>
      <c r="H1536" t="s">
        <v>2275</v>
      </c>
      <c r="I1536">
        <v>24.79</v>
      </c>
    </row>
    <row r="1537" spans="1:9" ht="12.75">
      <c r="A1537">
        <v>1532</v>
      </c>
      <c r="B1537" t="s">
        <v>2274</v>
      </c>
      <c r="C1537" t="s">
        <v>3438</v>
      </c>
      <c r="D1537" t="s">
        <v>2780</v>
      </c>
      <c r="E1537" t="s">
        <v>2973</v>
      </c>
      <c r="F1537" t="str">
        <f>"144/167"</f>
        <v>144/167</v>
      </c>
      <c r="G1537" t="s">
        <v>2276</v>
      </c>
      <c r="H1537" t="s">
        <v>2277</v>
      </c>
      <c r="I1537">
        <v>24.78</v>
      </c>
    </row>
    <row r="1538" spans="1:9" ht="12.75">
      <c r="A1538">
        <v>1533</v>
      </c>
      <c r="B1538" t="s">
        <v>2278</v>
      </c>
      <c r="C1538" t="s">
        <v>2865</v>
      </c>
      <c r="D1538" t="s">
        <v>2780</v>
      </c>
      <c r="E1538" t="s">
        <v>2973</v>
      </c>
      <c r="F1538" t="str">
        <f>"145/167"</f>
        <v>145/167</v>
      </c>
      <c r="G1538" t="s">
        <v>3148</v>
      </c>
      <c r="H1538" t="s">
        <v>2279</v>
      </c>
      <c r="I1538">
        <v>24.78</v>
      </c>
    </row>
    <row r="1539" spans="1:9" ht="12.75">
      <c r="A1539">
        <v>1534</v>
      </c>
      <c r="B1539" t="s">
        <v>2280</v>
      </c>
      <c r="C1539" t="s">
        <v>2865</v>
      </c>
      <c r="D1539" t="s">
        <v>2780</v>
      </c>
      <c r="E1539" t="s">
        <v>2818</v>
      </c>
      <c r="F1539" t="str">
        <f>"281/307"</f>
        <v>281/307</v>
      </c>
      <c r="G1539" t="s">
        <v>377</v>
      </c>
      <c r="H1539" t="s">
        <v>2281</v>
      </c>
      <c r="I1539">
        <v>24.77</v>
      </c>
    </row>
    <row r="1540" spans="1:9" ht="12.75">
      <c r="A1540">
        <v>1535</v>
      </c>
      <c r="B1540" t="s">
        <v>2282</v>
      </c>
      <c r="C1540" t="s">
        <v>3114</v>
      </c>
      <c r="D1540" t="s">
        <v>2780</v>
      </c>
      <c r="E1540" t="s">
        <v>2973</v>
      </c>
      <c r="F1540" t="str">
        <f>"146/167"</f>
        <v>146/167</v>
      </c>
      <c r="G1540" t="s">
        <v>2787</v>
      </c>
      <c r="H1540" t="s">
        <v>2281</v>
      </c>
      <c r="I1540">
        <v>24.77</v>
      </c>
    </row>
    <row r="1541" spans="1:9" ht="12.75">
      <c r="A1541">
        <v>1536</v>
      </c>
      <c r="B1541" t="s">
        <v>2283</v>
      </c>
      <c r="C1541" t="s">
        <v>2807</v>
      </c>
      <c r="D1541" t="s">
        <v>2780</v>
      </c>
      <c r="E1541" t="s">
        <v>2818</v>
      </c>
      <c r="F1541" t="str">
        <f>"282/307"</f>
        <v>282/307</v>
      </c>
      <c r="G1541" t="s">
        <v>3148</v>
      </c>
      <c r="H1541" t="s">
        <v>2284</v>
      </c>
      <c r="I1541">
        <v>24.77</v>
      </c>
    </row>
    <row r="1542" spans="1:9" ht="12.75">
      <c r="A1542">
        <v>1537</v>
      </c>
      <c r="B1542" t="s">
        <v>5720</v>
      </c>
      <c r="C1542" t="s">
        <v>2868</v>
      </c>
      <c r="D1542" t="s">
        <v>2780</v>
      </c>
      <c r="E1542" t="s">
        <v>2781</v>
      </c>
      <c r="F1542" t="str">
        <f>"318/329"</f>
        <v>318/329</v>
      </c>
      <c r="G1542" t="s">
        <v>3148</v>
      </c>
      <c r="H1542" t="s">
        <v>2285</v>
      </c>
      <c r="I1542">
        <v>24.75</v>
      </c>
    </row>
    <row r="1543" spans="1:9" ht="12.75">
      <c r="A1543">
        <v>1538</v>
      </c>
      <c r="B1543" t="s">
        <v>2286</v>
      </c>
      <c r="C1543" t="s">
        <v>1891</v>
      </c>
      <c r="D1543" t="s">
        <v>3031</v>
      </c>
      <c r="E1543" t="s">
        <v>3244</v>
      </c>
      <c r="F1543" t="str">
        <f>"50/63"</f>
        <v>50/63</v>
      </c>
      <c r="G1543" t="s">
        <v>3261</v>
      </c>
      <c r="H1543" t="s">
        <v>2287</v>
      </c>
      <c r="I1543">
        <v>24.7</v>
      </c>
    </row>
    <row r="1544" spans="1:9" ht="12.75">
      <c r="A1544">
        <v>1539</v>
      </c>
      <c r="B1544" t="s">
        <v>3227</v>
      </c>
      <c r="C1544" t="s">
        <v>4906</v>
      </c>
      <c r="D1544" t="s">
        <v>2780</v>
      </c>
      <c r="E1544" t="s">
        <v>2781</v>
      </c>
      <c r="F1544" t="str">
        <f>"319/329"</f>
        <v>319/329</v>
      </c>
      <c r="G1544" t="s">
        <v>1745</v>
      </c>
      <c r="H1544" t="s">
        <v>2288</v>
      </c>
      <c r="I1544">
        <v>24.69</v>
      </c>
    </row>
    <row r="1545" spans="1:9" ht="12.75">
      <c r="A1545">
        <v>1540</v>
      </c>
      <c r="B1545" t="s">
        <v>467</v>
      </c>
      <c r="C1545" t="s">
        <v>3318</v>
      </c>
      <c r="D1545" t="s">
        <v>2780</v>
      </c>
      <c r="E1545" t="s">
        <v>2818</v>
      </c>
      <c r="F1545" t="str">
        <f>"283/307"</f>
        <v>283/307</v>
      </c>
      <c r="G1545" t="s">
        <v>2883</v>
      </c>
      <c r="H1545" t="s">
        <v>2289</v>
      </c>
      <c r="I1545">
        <v>24.62</v>
      </c>
    </row>
    <row r="1546" spans="1:9" ht="12.75">
      <c r="A1546">
        <v>1541</v>
      </c>
      <c r="B1546" t="s">
        <v>3191</v>
      </c>
      <c r="C1546" t="s">
        <v>2966</v>
      </c>
      <c r="D1546" t="s">
        <v>2780</v>
      </c>
      <c r="E1546" t="s">
        <v>2823</v>
      </c>
      <c r="F1546" t="str">
        <f>"487/504"</f>
        <v>487/504</v>
      </c>
      <c r="G1546" t="s">
        <v>2290</v>
      </c>
      <c r="H1546" t="s">
        <v>2291</v>
      </c>
      <c r="I1546">
        <v>24.61</v>
      </c>
    </row>
    <row r="1547" spans="1:9" ht="12.75">
      <c r="A1547">
        <v>1542</v>
      </c>
      <c r="B1547" t="s">
        <v>2292</v>
      </c>
      <c r="C1547" t="s">
        <v>2293</v>
      </c>
      <c r="D1547" t="s">
        <v>2780</v>
      </c>
      <c r="E1547" t="s">
        <v>2973</v>
      </c>
      <c r="F1547" t="str">
        <f>"147/167"</f>
        <v>147/167</v>
      </c>
      <c r="G1547" t="s">
        <v>2294</v>
      </c>
      <c r="H1547" t="s">
        <v>2295</v>
      </c>
      <c r="I1547">
        <v>24.6</v>
      </c>
    </row>
    <row r="1548" spans="1:9" ht="12.75">
      <c r="A1548">
        <v>1543</v>
      </c>
      <c r="B1548" t="s">
        <v>2296</v>
      </c>
      <c r="C1548" t="s">
        <v>3421</v>
      </c>
      <c r="D1548" t="s">
        <v>2780</v>
      </c>
      <c r="E1548" t="s">
        <v>2973</v>
      </c>
      <c r="F1548" t="str">
        <f>"148/167"</f>
        <v>148/167</v>
      </c>
      <c r="G1548" t="s">
        <v>138</v>
      </c>
      <c r="H1548" t="s">
        <v>2297</v>
      </c>
      <c r="I1548">
        <v>24.56</v>
      </c>
    </row>
    <row r="1549" spans="1:9" ht="12.75">
      <c r="A1549">
        <v>1544</v>
      </c>
      <c r="B1549" t="s">
        <v>2298</v>
      </c>
      <c r="C1549" t="s">
        <v>401</v>
      </c>
      <c r="D1549" t="s">
        <v>2780</v>
      </c>
      <c r="E1549" t="s">
        <v>2818</v>
      </c>
      <c r="F1549" t="str">
        <f>"284/307"</f>
        <v>284/307</v>
      </c>
      <c r="G1549" t="s">
        <v>2994</v>
      </c>
      <c r="H1549" t="s">
        <v>2299</v>
      </c>
      <c r="I1549">
        <v>24.54</v>
      </c>
    </row>
    <row r="1550" spans="1:9" ht="12.75">
      <c r="A1550">
        <v>1545</v>
      </c>
      <c r="B1550" t="s">
        <v>2300</v>
      </c>
      <c r="C1550" t="s">
        <v>3243</v>
      </c>
      <c r="D1550" t="s">
        <v>2780</v>
      </c>
      <c r="E1550" t="s">
        <v>3244</v>
      </c>
      <c r="F1550" t="str">
        <f>"51/63"</f>
        <v>51/63</v>
      </c>
      <c r="G1550" t="s">
        <v>2994</v>
      </c>
      <c r="H1550" t="s">
        <v>2301</v>
      </c>
      <c r="I1550">
        <v>24.53</v>
      </c>
    </row>
    <row r="1551" spans="1:9" ht="12.75">
      <c r="A1551">
        <v>1546</v>
      </c>
      <c r="B1551" t="s">
        <v>2278</v>
      </c>
      <c r="C1551" t="s">
        <v>2302</v>
      </c>
      <c r="D1551" t="s">
        <v>3031</v>
      </c>
      <c r="E1551" t="s">
        <v>3244</v>
      </c>
      <c r="F1551" t="str">
        <f>"52/63"</f>
        <v>52/63</v>
      </c>
      <c r="G1551" t="s">
        <v>2290</v>
      </c>
      <c r="H1551" t="s">
        <v>2303</v>
      </c>
      <c r="I1551">
        <v>24.53</v>
      </c>
    </row>
    <row r="1552" spans="1:9" ht="12.75">
      <c r="A1552">
        <v>1547</v>
      </c>
      <c r="B1552" t="s">
        <v>2304</v>
      </c>
      <c r="C1552" t="s">
        <v>2305</v>
      </c>
      <c r="D1552" t="s">
        <v>2780</v>
      </c>
      <c r="E1552" t="s">
        <v>2818</v>
      </c>
      <c r="F1552" t="str">
        <f>"285/307"</f>
        <v>285/307</v>
      </c>
      <c r="G1552" t="s">
        <v>2306</v>
      </c>
      <c r="H1552" t="s">
        <v>2307</v>
      </c>
      <c r="I1552">
        <v>24.49</v>
      </c>
    </row>
    <row r="1553" spans="1:9" ht="12.75">
      <c r="A1553">
        <v>1548</v>
      </c>
      <c r="B1553" t="s">
        <v>493</v>
      </c>
      <c r="C1553" t="s">
        <v>615</v>
      </c>
      <c r="D1553" t="s">
        <v>2780</v>
      </c>
      <c r="E1553" t="s">
        <v>2973</v>
      </c>
      <c r="F1553" t="str">
        <f>"149/167"</f>
        <v>149/167</v>
      </c>
      <c r="G1553" t="s">
        <v>138</v>
      </c>
      <c r="H1553" t="s">
        <v>2308</v>
      </c>
      <c r="I1553">
        <v>24.47</v>
      </c>
    </row>
    <row r="1554" spans="1:9" ht="12.75">
      <c r="A1554">
        <v>1549</v>
      </c>
      <c r="B1554" t="s">
        <v>2309</v>
      </c>
      <c r="C1554" t="s">
        <v>2310</v>
      </c>
      <c r="D1554" t="s">
        <v>2780</v>
      </c>
      <c r="E1554" t="s">
        <v>2818</v>
      </c>
      <c r="F1554" t="str">
        <f>"286/307"</f>
        <v>286/307</v>
      </c>
      <c r="G1554" t="s">
        <v>1139</v>
      </c>
      <c r="H1554" t="s">
        <v>2311</v>
      </c>
      <c r="I1554">
        <v>24.47</v>
      </c>
    </row>
    <row r="1555" spans="1:9" ht="12.75">
      <c r="A1555">
        <v>1550</v>
      </c>
      <c r="B1555" t="s">
        <v>2312</v>
      </c>
      <c r="C1555" t="s">
        <v>2991</v>
      </c>
      <c r="D1555" t="s">
        <v>2780</v>
      </c>
      <c r="E1555" t="s">
        <v>2781</v>
      </c>
      <c r="F1555" t="str">
        <f>"320/329"</f>
        <v>320/329</v>
      </c>
      <c r="G1555" t="s">
        <v>59</v>
      </c>
      <c r="H1555" t="s">
        <v>2313</v>
      </c>
      <c r="I1555">
        <v>24.46</v>
      </c>
    </row>
    <row r="1556" spans="1:9" ht="12.75">
      <c r="A1556">
        <v>1551</v>
      </c>
      <c r="B1556" t="s">
        <v>2314</v>
      </c>
      <c r="C1556" t="s">
        <v>3560</v>
      </c>
      <c r="D1556" t="s">
        <v>2780</v>
      </c>
      <c r="E1556" t="s">
        <v>2818</v>
      </c>
      <c r="F1556" t="str">
        <f>"287/307"</f>
        <v>287/307</v>
      </c>
      <c r="G1556" t="s">
        <v>2315</v>
      </c>
      <c r="H1556" t="s">
        <v>2316</v>
      </c>
      <c r="I1556">
        <v>24.45</v>
      </c>
    </row>
    <row r="1557" spans="1:9" ht="12.75">
      <c r="A1557">
        <v>1552</v>
      </c>
      <c r="B1557" t="s">
        <v>2317</v>
      </c>
      <c r="C1557" t="s">
        <v>2840</v>
      </c>
      <c r="D1557" t="s">
        <v>2780</v>
      </c>
      <c r="E1557" t="s">
        <v>2818</v>
      </c>
      <c r="F1557" t="str">
        <f>"288/307"</f>
        <v>288/307</v>
      </c>
      <c r="G1557" t="s">
        <v>3148</v>
      </c>
      <c r="H1557" t="s">
        <v>2318</v>
      </c>
      <c r="I1557">
        <v>24.43</v>
      </c>
    </row>
    <row r="1558" spans="1:9" ht="12.75">
      <c r="A1558">
        <v>1553</v>
      </c>
      <c r="B1558" t="s">
        <v>2319</v>
      </c>
      <c r="C1558" t="s">
        <v>2963</v>
      </c>
      <c r="D1558" t="s">
        <v>2780</v>
      </c>
      <c r="E1558" t="s">
        <v>2823</v>
      </c>
      <c r="F1558" t="str">
        <f>"488/504"</f>
        <v>488/504</v>
      </c>
      <c r="G1558" t="s">
        <v>2320</v>
      </c>
      <c r="H1558" t="s">
        <v>2321</v>
      </c>
      <c r="I1558">
        <v>24.43</v>
      </c>
    </row>
    <row r="1559" spans="1:9" ht="12.75">
      <c r="A1559">
        <v>1554</v>
      </c>
      <c r="B1559" t="s">
        <v>2322</v>
      </c>
      <c r="C1559" t="s">
        <v>2323</v>
      </c>
      <c r="D1559" t="s">
        <v>2780</v>
      </c>
      <c r="E1559" t="s">
        <v>2973</v>
      </c>
      <c r="F1559" t="str">
        <f>"150/167"</f>
        <v>150/167</v>
      </c>
      <c r="G1559" t="s">
        <v>3148</v>
      </c>
      <c r="H1559" t="s">
        <v>2324</v>
      </c>
      <c r="I1559">
        <v>24.42</v>
      </c>
    </row>
    <row r="1560" spans="1:9" ht="12.75">
      <c r="A1560">
        <v>1555</v>
      </c>
      <c r="B1560" t="s">
        <v>2325</v>
      </c>
      <c r="C1560" t="s">
        <v>3387</v>
      </c>
      <c r="D1560" t="s">
        <v>2780</v>
      </c>
      <c r="E1560" t="s">
        <v>3209</v>
      </c>
      <c r="F1560" t="str">
        <f>"45/62"</f>
        <v>45/62</v>
      </c>
      <c r="G1560" t="s">
        <v>2326</v>
      </c>
      <c r="H1560" t="s">
        <v>2327</v>
      </c>
      <c r="I1560">
        <v>24.4</v>
      </c>
    </row>
    <row r="1561" spans="1:9" ht="12.75">
      <c r="A1561">
        <v>1556</v>
      </c>
      <c r="B1561" t="s">
        <v>2990</v>
      </c>
      <c r="C1561" t="s">
        <v>2942</v>
      </c>
      <c r="D1561" t="s">
        <v>2780</v>
      </c>
      <c r="E1561" t="s">
        <v>2823</v>
      </c>
      <c r="F1561" t="str">
        <f>"489/504"</f>
        <v>489/504</v>
      </c>
      <c r="G1561" t="s">
        <v>1780</v>
      </c>
      <c r="H1561" t="s">
        <v>2328</v>
      </c>
      <c r="I1561">
        <v>24.38</v>
      </c>
    </row>
    <row r="1562" spans="1:9" ht="12.75">
      <c r="A1562">
        <v>1557</v>
      </c>
      <c r="B1562" t="s">
        <v>2329</v>
      </c>
      <c r="C1562" t="s">
        <v>2807</v>
      </c>
      <c r="D1562" t="s">
        <v>2780</v>
      </c>
      <c r="E1562" t="s">
        <v>2973</v>
      </c>
      <c r="F1562" t="str">
        <f>"151/167"</f>
        <v>151/167</v>
      </c>
      <c r="G1562" t="s">
        <v>2330</v>
      </c>
      <c r="H1562" t="s">
        <v>2331</v>
      </c>
      <c r="I1562">
        <v>24.37</v>
      </c>
    </row>
    <row r="1563" spans="1:9" ht="12.75">
      <c r="A1563">
        <v>1558</v>
      </c>
      <c r="B1563" t="s">
        <v>2332</v>
      </c>
      <c r="C1563" t="s">
        <v>3488</v>
      </c>
      <c r="D1563" t="s">
        <v>2780</v>
      </c>
      <c r="E1563" t="s">
        <v>2823</v>
      </c>
      <c r="F1563" t="str">
        <f>"490/504"</f>
        <v>490/504</v>
      </c>
      <c r="G1563" t="s">
        <v>3516</v>
      </c>
      <c r="H1563" t="s">
        <v>2333</v>
      </c>
      <c r="I1563">
        <v>24.3</v>
      </c>
    </row>
    <row r="1564" spans="1:9" ht="12.75">
      <c r="A1564">
        <v>1559</v>
      </c>
      <c r="B1564" t="s">
        <v>2334</v>
      </c>
      <c r="C1564" t="s">
        <v>3464</v>
      </c>
      <c r="D1564" t="s">
        <v>2780</v>
      </c>
      <c r="E1564" t="s">
        <v>2818</v>
      </c>
      <c r="F1564" t="str">
        <f>"289/307"</f>
        <v>289/307</v>
      </c>
      <c r="G1564" t="s">
        <v>3516</v>
      </c>
      <c r="H1564" t="s">
        <v>2335</v>
      </c>
      <c r="I1564">
        <v>24.29</v>
      </c>
    </row>
    <row r="1565" spans="1:9" ht="12.75">
      <c r="A1565">
        <v>1560</v>
      </c>
      <c r="B1565" t="s">
        <v>2336</v>
      </c>
      <c r="C1565" t="s">
        <v>2942</v>
      </c>
      <c r="D1565" t="s">
        <v>2780</v>
      </c>
      <c r="E1565" t="s">
        <v>2823</v>
      </c>
      <c r="F1565" t="str">
        <f>"491/504"</f>
        <v>491/504</v>
      </c>
      <c r="G1565" t="s">
        <v>3516</v>
      </c>
      <c r="H1565" t="s">
        <v>2337</v>
      </c>
      <c r="I1565">
        <v>24.29</v>
      </c>
    </row>
    <row r="1566" spans="1:9" ht="12.75">
      <c r="A1566">
        <v>1561</v>
      </c>
      <c r="B1566" t="s">
        <v>2338</v>
      </c>
      <c r="C1566" t="s">
        <v>2339</v>
      </c>
      <c r="D1566" t="s">
        <v>2780</v>
      </c>
      <c r="E1566" t="s">
        <v>2818</v>
      </c>
      <c r="F1566" t="str">
        <f>"290/307"</f>
        <v>290/307</v>
      </c>
      <c r="G1566" t="s">
        <v>2340</v>
      </c>
      <c r="H1566" t="s">
        <v>2341</v>
      </c>
      <c r="I1566">
        <v>24.28</v>
      </c>
    </row>
    <row r="1567" spans="1:9" ht="12.75">
      <c r="A1567">
        <v>1562</v>
      </c>
      <c r="B1567" t="s">
        <v>2342</v>
      </c>
      <c r="C1567" t="s">
        <v>1826</v>
      </c>
      <c r="D1567" t="s">
        <v>3031</v>
      </c>
      <c r="E1567" t="s">
        <v>3244</v>
      </c>
      <c r="F1567" t="str">
        <f>"53/63"</f>
        <v>53/63</v>
      </c>
      <c r="G1567" t="s">
        <v>2340</v>
      </c>
      <c r="H1567" t="s">
        <v>2343</v>
      </c>
      <c r="I1567">
        <v>24.28</v>
      </c>
    </row>
    <row r="1568" spans="1:9" ht="12.75">
      <c r="A1568">
        <v>1563</v>
      </c>
      <c r="B1568" t="s">
        <v>2344</v>
      </c>
      <c r="C1568" t="s">
        <v>2251</v>
      </c>
      <c r="D1568" t="s">
        <v>3031</v>
      </c>
      <c r="E1568" t="s">
        <v>3244</v>
      </c>
      <c r="F1568" t="str">
        <f>"54/63"</f>
        <v>54/63</v>
      </c>
      <c r="G1568" t="s">
        <v>2340</v>
      </c>
      <c r="H1568" t="s">
        <v>2345</v>
      </c>
      <c r="I1568">
        <v>24.28</v>
      </c>
    </row>
    <row r="1569" spans="1:9" ht="12.75">
      <c r="A1569">
        <v>1564</v>
      </c>
      <c r="B1569" t="s">
        <v>2346</v>
      </c>
      <c r="C1569" t="s">
        <v>2347</v>
      </c>
      <c r="D1569" t="s">
        <v>3031</v>
      </c>
      <c r="E1569" t="s">
        <v>3244</v>
      </c>
      <c r="F1569" t="str">
        <f>"55/63"</f>
        <v>55/63</v>
      </c>
      <c r="G1569" t="s">
        <v>2340</v>
      </c>
      <c r="H1569" t="s">
        <v>2348</v>
      </c>
      <c r="I1569">
        <v>24.28</v>
      </c>
    </row>
    <row r="1570" spans="1:9" ht="12.75">
      <c r="A1570">
        <v>1565</v>
      </c>
      <c r="B1570" t="s">
        <v>2349</v>
      </c>
      <c r="C1570" t="s">
        <v>2350</v>
      </c>
      <c r="D1570" t="s">
        <v>2780</v>
      </c>
      <c r="E1570" t="s">
        <v>2823</v>
      </c>
      <c r="F1570" t="str">
        <f>"492/504"</f>
        <v>492/504</v>
      </c>
      <c r="G1570" t="s">
        <v>2340</v>
      </c>
      <c r="H1570" t="s">
        <v>2351</v>
      </c>
      <c r="I1570">
        <v>24.28</v>
      </c>
    </row>
    <row r="1571" spans="1:9" ht="12.75">
      <c r="A1571">
        <v>1566</v>
      </c>
      <c r="B1571" t="s">
        <v>29</v>
      </c>
      <c r="C1571" t="s">
        <v>3008</v>
      </c>
      <c r="D1571" t="s">
        <v>2780</v>
      </c>
      <c r="E1571" t="s">
        <v>3209</v>
      </c>
      <c r="F1571" t="str">
        <f>"46/62"</f>
        <v>46/62</v>
      </c>
      <c r="G1571" t="s">
        <v>2352</v>
      </c>
      <c r="H1571" t="s">
        <v>2353</v>
      </c>
      <c r="I1571">
        <v>24.23</v>
      </c>
    </row>
    <row r="1572" spans="1:9" ht="12.75">
      <c r="A1572">
        <v>1567</v>
      </c>
      <c r="B1572" t="s">
        <v>2354</v>
      </c>
      <c r="C1572" t="s">
        <v>2997</v>
      </c>
      <c r="D1572" t="s">
        <v>2780</v>
      </c>
      <c r="E1572" t="s">
        <v>2973</v>
      </c>
      <c r="F1572" t="str">
        <f>"152/167"</f>
        <v>152/167</v>
      </c>
      <c r="G1572" t="s">
        <v>2355</v>
      </c>
      <c r="H1572" t="s">
        <v>2356</v>
      </c>
      <c r="I1572">
        <v>24.19</v>
      </c>
    </row>
    <row r="1573" spans="1:9" ht="12.75">
      <c r="A1573">
        <v>1568</v>
      </c>
      <c r="B1573" t="s">
        <v>2357</v>
      </c>
      <c r="C1573" t="s">
        <v>2857</v>
      </c>
      <c r="D1573" t="s">
        <v>2780</v>
      </c>
      <c r="E1573" t="s">
        <v>2973</v>
      </c>
      <c r="F1573" t="str">
        <f>"153/167"</f>
        <v>153/167</v>
      </c>
      <c r="G1573" t="s">
        <v>5762</v>
      </c>
      <c r="H1573" t="s">
        <v>2358</v>
      </c>
      <c r="I1573">
        <v>24.15</v>
      </c>
    </row>
    <row r="1574" spans="1:9" ht="12.75">
      <c r="A1574">
        <v>1569</v>
      </c>
      <c r="B1574" t="s">
        <v>2359</v>
      </c>
      <c r="C1574" t="s">
        <v>3350</v>
      </c>
      <c r="D1574" t="s">
        <v>2780</v>
      </c>
      <c r="E1574" t="s">
        <v>2973</v>
      </c>
      <c r="F1574" t="str">
        <f>"154/167"</f>
        <v>154/167</v>
      </c>
      <c r="G1574" t="s">
        <v>3322</v>
      </c>
      <c r="H1574" t="s">
        <v>2360</v>
      </c>
      <c r="I1574">
        <v>24.14</v>
      </c>
    </row>
    <row r="1575" spans="1:9" ht="12.75">
      <c r="A1575">
        <v>1570</v>
      </c>
      <c r="B1575" t="s">
        <v>2361</v>
      </c>
      <c r="C1575" t="s">
        <v>2362</v>
      </c>
      <c r="D1575" t="s">
        <v>2780</v>
      </c>
      <c r="E1575" t="s">
        <v>2818</v>
      </c>
      <c r="F1575" t="str">
        <f>"291/307"</f>
        <v>291/307</v>
      </c>
      <c r="G1575" t="s">
        <v>2363</v>
      </c>
      <c r="H1575" t="s">
        <v>2364</v>
      </c>
      <c r="I1575">
        <v>24.11</v>
      </c>
    </row>
    <row r="1576" spans="1:9" ht="12.75">
      <c r="A1576">
        <v>1571</v>
      </c>
      <c r="B1576" t="s">
        <v>2365</v>
      </c>
      <c r="C1576" t="s">
        <v>3488</v>
      </c>
      <c r="D1576" t="s">
        <v>2780</v>
      </c>
      <c r="E1576" t="s">
        <v>2818</v>
      </c>
      <c r="F1576" t="str">
        <f>"292/307"</f>
        <v>292/307</v>
      </c>
      <c r="G1576" t="s">
        <v>2366</v>
      </c>
      <c r="H1576" t="s">
        <v>2367</v>
      </c>
      <c r="I1576">
        <v>24.1</v>
      </c>
    </row>
    <row r="1577" spans="1:9" ht="12.75">
      <c r="A1577">
        <v>1572</v>
      </c>
      <c r="B1577" t="s">
        <v>2368</v>
      </c>
      <c r="C1577" t="s">
        <v>2369</v>
      </c>
      <c r="D1577" t="s">
        <v>2780</v>
      </c>
      <c r="E1577" t="s">
        <v>2823</v>
      </c>
      <c r="F1577" t="str">
        <f>"493/504"</f>
        <v>493/504</v>
      </c>
      <c r="G1577" t="s">
        <v>2370</v>
      </c>
      <c r="H1577" t="s">
        <v>2371</v>
      </c>
      <c r="I1577">
        <v>24.09</v>
      </c>
    </row>
    <row r="1578" spans="1:9" ht="12.75">
      <c r="A1578">
        <v>1573</v>
      </c>
      <c r="B1578" t="s">
        <v>2372</v>
      </c>
      <c r="C1578" t="s">
        <v>2373</v>
      </c>
      <c r="D1578" t="s">
        <v>2780</v>
      </c>
      <c r="E1578" t="s">
        <v>3209</v>
      </c>
      <c r="F1578" t="str">
        <f>"47/62"</f>
        <v>47/62</v>
      </c>
      <c r="G1578" t="s">
        <v>2008</v>
      </c>
      <c r="H1578" t="s">
        <v>2374</v>
      </c>
      <c r="I1578">
        <v>24.08</v>
      </c>
    </row>
    <row r="1579" spans="1:9" ht="12.75">
      <c r="A1579">
        <v>1574</v>
      </c>
      <c r="B1579" t="s">
        <v>5752</v>
      </c>
      <c r="C1579" t="s">
        <v>2857</v>
      </c>
      <c r="D1579" t="s">
        <v>2780</v>
      </c>
      <c r="E1579" t="s">
        <v>2973</v>
      </c>
      <c r="F1579" t="str">
        <f>"155/167"</f>
        <v>155/167</v>
      </c>
      <c r="G1579" t="s">
        <v>2370</v>
      </c>
      <c r="H1579" t="s">
        <v>2375</v>
      </c>
      <c r="I1579">
        <v>24.08</v>
      </c>
    </row>
    <row r="1580" spans="1:9" ht="12.75">
      <c r="A1580">
        <v>1575</v>
      </c>
      <c r="B1580" t="s">
        <v>2376</v>
      </c>
      <c r="C1580" t="s">
        <v>2807</v>
      </c>
      <c r="D1580" t="s">
        <v>2780</v>
      </c>
      <c r="E1580" t="s">
        <v>2823</v>
      </c>
      <c r="F1580" t="str">
        <f>"494/504"</f>
        <v>494/504</v>
      </c>
      <c r="G1580" t="s">
        <v>2370</v>
      </c>
      <c r="H1580" t="s">
        <v>2377</v>
      </c>
      <c r="I1580">
        <v>24.08</v>
      </c>
    </row>
    <row r="1581" spans="1:9" ht="12.75">
      <c r="A1581">
        <v>1576</v>
      </c>
      <c r="B1581" t="s">
        <v>490</v>
      </c>
      <c r="C1581" t="s">
        <v>2378</v>
      </c>
      <c r="D1581" t="s">
        <v>3031</v>
      </c>
      <c r="E1581" t="s">
        <v>3244</v>
      </c>
      <c r="F1581" t="str">
        <f>"56/63"</f>
        <v>56/63</v>
      </c>
      <c r="G1581" t="s">
        <v>2379</v>
      </c>
      <c r="H1581" t="s">
        <v>2380</v>
      </c>
      <c r="I1581">
        <v>24.08</v>
      </c>
    </row>
    <row r="1582" spans="1:9" ht="12.75">
      <c r="A1582">
        <v>1577</v>
      </c>
      <c r="B1582" t="s">
        <v>2381</v>
      </c>
      <c r="C1582" t="s">
        <v>3114</v>
      </c>
      <c r="D1582" t="s">
        <v>2780</v>
      </c>
      <c r="E1582" t="s">
        <v>2823</v>
      </c>
      <c r="F1582" t="str">
        <f>"495/504"</f>
        <v>495/504</v>
      </c>
      <c r="G1582" t="s">
        <v>2370</v>
      </c>
      <c r="H1582" t="s">
        <v>2382</v>
      </c>
      <c r="I1582">
        <v>24.08</v>
      </c>
    </row>
    <row r="1583" spans="1:9" ht="12.75">
      <c r="A1583">
        <v>1578</v>
      </c>
      <c r="B1583" t="s">
        <v>2383</v>
      </c>
      <c r="C1583" t="s">
        <v>2861</v>
      </c>
      <c r="D1583" t="s">
        <v>2780</v>
      </c>
      <c r="E1583" t="s">
        <v>3209</v>
      </c>
      <c r="F1583" t="str">
        <f>"48/62"</f>
        <v>48/62</v>
      </c>
      <c r="H1583" t="s">
        <v>2384</v>
      </c>
      <c r="I1583">
        <v>24.08</v>
      </c>
    </row>
    <row r="1584" spans="1:9" ht="12.75">
      <c r="A1584">
        <v>1579</v>
      </c>
      <c r="B1584" t="s">
        <v>2385</v>
      </c>
      <c r="C1584" t="s">
        <v>43</v>
      </c>
      <c r="D1584" t="s">
        <v>2780</v>
      </c>
      <c r="E1584" t="s">
        <v>2973</v>
      </c>
      <c r="F1584" t="str">
        <f>"156/167"</f>
        <v>156/167</v>
      </c>
      <c r="G1584" t="s">
        <v>2290</v>
      </c>
      <c r="H1584" t="s">
        <v>2386</v>
      </c>
      <c r="I1584">
        <v>24.07</v>
      </c>
    </row>
    <row r="1585" spans="1:9" ht="12.75">
      <c r="A1585">
        <v>1580</v>
      </c>
      <c r="B1585" t="s">
        <v>2387</v>
      </c>
      <c r="C1585" t="s">
        <v>504</v>
      </c>
      <c r="D1585" t="s">
        <v>2780</v>
      </c>
      <c r="E1585" t="s">
        <v>3209</v>
      </c>
      <c r="F1585" t="str">
        <f>"49/62"</f>
        <v>49/62</v>
      </c>
      <c r="G1585" t="s">
        <v>2008</v>
      </c>
      <c r="H1585" t="s">
        <v>2388</v>
      </c>
      <c r="I1585">
        <v>24.07</v>
      </c>
    </row>
    <row r="1586" spans="1:9" ht="12.75">
      <c r="A1586">
        <v>1581</v>
      </c>
      <c r="B1586" t="s">
        <v>2389</v>
      </c>
      <c r="C1586" t="s">
        <v>3337</v>
      </c>
      <c r="D1586" t="s">
        <v>2780</v>
      </c>
      <c r="E1586" t="s">
        <v>2818</v>
      </c>
      <c r="F1586" t="str">
        <f>"293/307"</f>
        <v>293/307</v>
      </c>
      <c r="G1586" t="s">
        <v>2366</v>
      </c>
      <c r="H1586" t="s">
        <v>2390</v>
      </c>
      <c r="I1586">
        <v>24.06</v>
      </c>
    </row>
    <row r="1587" spans="1:9" ht="12.75">
      <c r="A1587">
        <v>1582</v>
      </c>
      <c r="B1587" t="s">
        <v>2391</v>
      </c>
      <c r="C1587" t="s">
        <v>615</v>
      </c>
      <c r="D1587" t="s">
        <v>2780</v>
      </c>
      <c r="E1587" t="s">
        <v>2781</v>
      </c>
      <c r="F1587" t="str">
        <f>"321/329"</f>
        <v>321/329</v>
      </c>
      <c r="G1587" t="s">
        <v>1014</v>
      </c>
      <c r="H1587" t="s">
        <v>2392</v>
      </c>
      <c r="I1587">
        <v>24.03</v>
      </c>
    </row>
    <row r="1588" spans="1:9" ht="12.75">
      <c r="A1588">
        <v>1583</v>
      </c>
      <c r="B1588" t="s">
        <v>2393</v>
      </c>
      <c r="C1588" t="s">
        <v>2840</v>
      </c>
      <c r="D1588" t="s">
        <v>2780</v>
      </c>
      <c r="E1588" t="s">
        <v>2818</v>
      </c>
      <c r="F1588" t="str">
        <f>"294/307"</f>
        <v>294/307</v>
      </c>
      <c r="G1588" t="s">
        <v>1014</v>
      </c>
      <c r="H1588" t="s">
        <v>2392</v>
      </c>
      <c r="I1588">
        <v>24.03</v>
      </c>
    </row>
    <row r="1589" spans="1:9" ht="12.75">
      <c r="A1589">
        <v>1584</v>
      </c>
      <c r="B1589" t="s">
        <v>2394</v>
      </c>
      <c r="C1589" t="s">
        <v>2865</v>
      </c>
      <c r="D1589" t="s">
        <v>2780</v>
      </c>
      <c r="E1589" t="s">
        <v>2823</v>
      </c>
      <c r="F1589" t="str">
        <f>"496/504"</f>
        <v>496/504</v>
      </c>
      <c r="G1589" t="s">
        <v>3450</v>
      </c>
      <c r="H1589" t="s">
        <v>2395</v>
      </c>
      <c r="I1589">
        <v>24.02</v>
      </c>
    </row>
    <row r="1590" spans="1:9" ht="12.75">
      <c r="A1590">
        <v>1585</v>
      </c>
      <c r="B1590" t="s">
        <v>2396</v>
      </c>
      <c r="C1590" t="s">
        <v>504</v>
      </c>
      <c r="D1590" t="s">
        <v>2780</v>
      </c>
      <c r="E1590" t="s">
        <v>2818</v>
      </c>
      <c r="F1590" t="str">
        <f>"295/307"</f>
        <v>295/307</v>
      </c>
      <c r="G1590" t="s">
        <v>2397</v>
      </c>
      <c r="H1590" t="s">
        <v>2398</v>
      </c>
      <c r="I1590">
        <v>24</v>
      </c>
    </row>
    <row r="1591" spans="1:9" ht="12.75">
      <c r="A1591">
        <v>1586</v>
      </c>
      <c r="B1591" t="s">
        <v>1648</v>
      </c>
      <c r="C1591" t="s">
        <v>3164</v>
      </c>
      <c r="D1591" t="s">
        <v>2780</v>
      </c>
      <c r="E1591" t="s">
        <v>2823</v>
      </c>
      <c r="F1591" t="str">
        <f>"497/504"</f>
        <v>497/504</v>
      </c>
      <c r="G1591" t="s">
        <v>4891</v>
      </c>
      <c r="H1591" t="s">
        <v>2399</v>
      </c>
      <c r="I1591">
        <v>24</v>
      </c>
    </row>
    <row r="1592" spans="1:9" ht="12.75">
      <c r="A1592">
        <v>1587</v>
      </c>
      <c r="B1592" t="s">
        <v>2400</v>
      </c>
      <c r="C1592" t="s">
        <v>3174</v>
      </c>
      <c r="D1592" t="s">
        <v>2780</v>
      </c>
      <c r="E1592" t="s">
        <v>3209</v>
      </c>
      <c r="F1592" t="str">
        <f>"50/62"</f>
        <v>50/62</v>
      </c>
      <c r="G1592" t="s">
        <v>2008</v>
      </c>
      <c r="H1592" t="s">
        <v>2401</v>
      </c>
      <c r="I1592">
        <v>23.99</v>
      </c>
    </row>
    <row r="1593" spans="1:9" ht="12.75">
      <c r="A1593">
        <v>1588</v>
      </c>
      <c r="B1593" t="s">
        <v>2402</v>
      </c>
      <c r="C1593" t="s">
        <v>2403</v>
      </c>
      <c r="D1593" t="s">
        <v>2780</v>
      </c>
      <c r="E1593" t="s">
        <v>2973</v>
      </c>
      <c r="F1593" t="str">
        <f>"157/167"</f>
        <v>157/167</v>
      </c>
      <c r="G1593" t="s">
        <v>2404</v>
      </c>
      <c r="H1593" t="s">
        <v>2405</v>
      </c>
      <c r="I1593">
        <v>23.97</v>
      </c>
    </row>
    <row r="1594" spans="1:9" ht="12.75">
      <c r="A1594">
        <v>1589</v>
      </c>
      <c r="B1594" t="s">
        <v>2406</v>
      </c>
      <c r="C1594" t="s">
        <v>2942</v>
      </c>
      <c r="D1594" t="s">
        <v>2780</v>
      </c>
      <c r="E1594" t="s">
        <v>2818</v>
      </c>
      <c r="F1594" t="str">
        <f>"296/307"</f>
        <v>296/307</v>
      </c>
      <c r="G1594" t="s">
        <v>2404</v>
      </c>
      <c r="H1594" t="s">
        <v>2407</v>
      </c>
      <c r="I1594">
        <v>23.97</v>
      </c>
    </row>
    <row r="1595" spans="1:9" ht="12.75">
      <c r="A1595">
        <v>1590</v>
      </c>
      <c r="B1595" t="s">
        <v>2408</v>
      </c>
      <c r="C1595" t="s">
        <v>3057</v>
      </c>
      <c r="D1595" t="s">
        <v>2780</v>
      </c>
      <c r="E1595" t="s">
        <v>3209</v>
      </c>
      <c r="F1595" t="str">
        <f>"51/62"</f>
        <v>51/62</v>
      </c>
      <c r="G1595" t="s">
        <v>2352</v>
      </c>
      <c r="H1595" t="s">
        <v>2409</v>
      </c>
      <c r="I1595">
        <v>23.95</v>
      </c>
    </row>
    <row r="1596" spans="1:9" ht="12.75">
      <c r="A1596">
        <v>1591</v>
      </c>
      <c r="B1596" t="s">
        <v>2410</v>
      </c>
      <c r="C1596" t="s">
        <v>2810</v>
      </c>
      <c r="D1596" t="s">
        <v>2780</v>
      </c>
      <c r="E1596" t="s">
        <v>2973</v>
      </c>
      <c r="F1596" t="str">
        <f>"158/167"</f>
        <v>158/167</v>
      </c>
      <c r="G1596" t="s">
        <v>972</v>
      </c>
      <c r="H1596" t="s">
        <v>2411</v>
      </c>
      <c r="I1596">
        <v>23.9</v>
      </c>
    </row>
    <row r="1597" spans="1:9" ht="12.75">
      <c r="A1597">
        <v>1592</v>
      </c>
      <c r="B1597" t="s">
        <v>2412</v>
      </c>
      <c r="C1597" t="s">
        <v>2413</v>
      </c>
      <c r="D1597" t="s">
        <v>3031</v>
      </c>
      <c r="E1597" t="s">
        <v>3244</v>
      </c>
      <c r="F1597" t="str">
        <f>"57/63"</f>
        <v>57/63</v>
      </c>
      <c r="G1597" t="s">
        <v>1849</v>
      </c>
      <c r="H1597" t="s">
        <v>2414</v>
      </c>
      <c r="I1597">
        <v>23.9</v>
      </c>
    </row>
    <row r="1598" spans="1:9" ht="12.75">
      <c r="A1598">
        <v>1593</v>
      </c>
      <c r="B1598" t="s">
        <v>2415</v>
      </c>
      <c r="C1598" t="s">
        <v>2416</v>
      </c>
      <c r="D1598" t="s">
        <v>3031</v>
      </c>
      <c r="E1598" t="s">
        <v>3032</v>
      </c>
      <c r="F1598" t="str">
        <f>"50/54"</f>
        <v>50/54</v>
      </c>
      <c r="G1598" t="s">
        <v>3261</v>
      </c>
      <c r="H1598" t="s">
        <v>2417</v>
      </c>
      <c r="I1598">
        <v>23.89</v>
      </c>
    </row>
    <row r="1599" spans="1:9" ht="12.75">
      <c r="A1599">
        <v>1594</v>
      </c>
      <c r="B1599" t="s">
        <v>746</v>
      </c>
      <c r="C1599" t="s">
        <v>3087</v>
      </c>
      <c r="D1599" t="s">
        <v>2780</v>
      </c>
      <c r="E1599" t="s">
        <v>2973</v>
      </c>
      <c r="F1599" t="str">
        <f>"159/167"</f>
        <v>159/167</v>
      </c>
      <c r="G1599" t="s">
        <v>1849</v>
      </c>
      <c r="H1599" t="s">
        <v>2418</v>
      </c>
      <c r="I1599">
        <v>23.88</v>
      </c>
    </row>
    <row r="1600" spans="1:9" ht="12.75">
      <c r="A1600">
        <v>1595</v>
      </c>
      <c r="B1600" t="s">
        <v>2419</v>
      </c>
      <c r="C1600" t="s">
        <v>2420</v>
      </c>
      <c r="D1600" t="s">
        <v>3031</v>
      </c>
      <c r="E1600" t="s">
        <v>3244</v>
      </c>
      <c r="F1600" t="str">
        <f>"58/63"</f>
        <v>58/63</v>
      </c>
      <c r="G1600" t="s">
        <v>1849</v>
      </c>
      <c r="H1600" t="s">
        <v>2421</v>
      </c>
      <c r="I1600">
        <v>23.88</v>
      </c>
    </row>
    <row r="1601" spans="1:9" ht="12.75">
      <c r="A1601">
        <v>1596</v>
      </c>
      <c r="B1601" t="s">
        <v>2422</v>
      </c>
      <c r="C1601" t="s">
        <v>4894</v>
      </c>
      <c r="D1601" t="s">
        <v>2780</v>
      </c>
      <c r="E1601" t="s">
        <v>2818</v>
      </c>
      <c r="F1601" t="str">
        <f>"297/307"</f>
        <v>297/307</v>
      </c>
      <c r="G1601" t="s">
        <v>1849</v>
      </c>
      <c r="H1601" t="s">
        <v>2423</v>
      </c>
      <c r="I1601">
        <v>23.87</v>
      </c>
    </row>
    <row r="1602" spans="1:9" ht="12.75">
      <c r="A1602">
        <v>1597</v>
      </c>
      <c r="B1602" t="s">
        <v>2424</v>
      </c>
      <c r="C1602" t="s">
        <v>2817</v>
      </c>
      <c r="D1602" t="s">
        <v>2780</v>
      </c>
      <c r="E1602" t="s">
        <v>2973</v>
      </c>
      <c r="F1602" t="str">
        <f>"160/167"</f>
        <v>160/167</v>
      </c>
      <c r="G1602" t="s">
        <v>2243</v>
      </c>
      <c r="H1602" t="s">
        <v>2425</v>
      </c>
      <c r="I1602">
        <v>23.86</v>
      </c>
    </row>
    <row r="1603" spans="1:9" ht="12.75">
      <c r="A1603">
        <v>1598</v>
      </c>
      <c r="B1603" t="s">
        <v>2426</v>
      </c>
      <c r="C1603" t="s">
        <v>967</v>
      </c>
      <c r="D1603" t="s">
        <v>3031</v>
      </c>
      <c r="E1603" t="s">
        <v>3244</v>
      </c>
      <c r="F1603" t="str">
        <f>"59/63"</f>
        <v>59/63</v>
      </c>
      <c r="G1603" t="s">
        <v>3261</v>
      </c>
      <c r="H1603" t="s">
        <v>2427</v>
      </c>
      <c r="I1603">
        <v>23.85</v>
      </c>
    </row>
    <row r="1604" spans="1:9" ht="12.75">
      <c r="A1604">
        <v>1599</v>
      </c>
      <c r="B1604" t="s">
        <v>106</v>
      </c>
      <c r="C1604" t="s">
        <v>504</v>
      </c>
      <c r="D1604" t="s">
        <v>2780</v>
      </c>
      <c r="E1604" t="s">
        <v>2781</v>
      </c>
      <c r="F1604" t="str">
        <f>"322/329"</f>
        <v>322/329</v>
      </c>
      <c r="G1604" t="s">
        <v>1901</v>
      </c>
      <c r="H1604" t="s">
        <v>2428</v>
      </c>
      <c r="I1604">
        <v>23.83</v>
      </c>
    </row>
    <row r="1605" spans="1:9" ht="12.75">
      <c r="A1605">
        <v>1600</v>
      </c>
      <c r="B1605" t="s">
        <v>2429</v>
      </c>
      <c r="C1605" t="s">
        <v>2807</v>
      </c>
      <c r="D1605" t="s">
        <v>2780</v>
      </c>
      <c r="E1605" t="s">
        <v>2818</v>
      </c>
      <c r="F1605" t="str">
        <f>"298/307"</f>
        <v>298/307</v>
      </c>
      <c r="G1605" t="s">
        <v>2430</v>
      </c>
      <c r="H1605" t="s">
        <v>2431</v>
      </c>
      <c r="I1605">
        <v>23.83</v>
      </c>
    </row>
    <row r="1606" spans="1:9" ht="12.75">
      <c r="A1606">
        <v>1601</v>
      </c>
      <c r="B1606" t="s">
        <v>2432</v>
      </c>
      <c r="C1606" t="s">
        <v>504</v>
      </c>
      <c r="D1606" t="s">
        <v>2780</v>
      </c>
      <c r="E1606" t="s">
        <v>3209</v>
      </c>
      <c r="F1606" t="str">
        <f>"52/62"</f>
        <v>52/62</v>
      </c>
      <c r="G1606" t="s">
        <v>1016</v>
      </c>
      <c r="H1606" t="s">
        <v>2433</v>
      </c>
      <c r="I1606">
        <v>23.81</v>
      </c>
    </row>
    <row r="1607" spans="1:9" ht="12.75">
      <c r="A1607">
        <v>1602</v>
      </c>
      <c r="B1607" t="s">
        <v>890</v>
      </c>
      <c r="C1607" t="s">
        <v>2836</v>
      </c>
      <c r="D1607" t="s">
        <v>2780</v>
      </c>
      <c r="E1607" t="s">
        <v>3209</v>
      </c>
      <c r="F1607" t="str">
        <f>"53/62"</f>
        <v>53/62</v>
      </c>
      <c r="G1607" t="s">
        <v>1567</v>
      </c>
      <c r="H1607" t="s">
        <v>2434</v>
      </c>
      <c r="I1607">
        <v>23.8</v>
      </c>
    </row>
    <row r="1608" spans="1:9" ht="12.75">
      <c r="A1608">
        <v>1603</v>
      </c>
      <c r="B1608" t="s">
        <v>2435</v>
      </c>
      <c r="C1608" t="s">
        <v>3346</v>
      </c>
      <c r="D1608" t="s">
        <v>2780</v>
      </c>
      <c r="E1608" t="s">
        <v>2823</v>
      </c>
      <c r="F1608" t="str">
        <f>"498/504"</f>
        <v>498/504</v>
      </c>
      <c r="G1608" t="s">
        <v>2370</v>
      </c>
      <c r="H1608" t="s">
        <v>2436</v>
      </c>
      <c r="I1608">
        <v>23.79</v>
      </c>
    </row>
    <row r="1609" spans="1:9" ht="12.75">
      <c r="A1609">
        <v>1604</v>
      </c>
      <c r="B1609" t="s">
        <v>2057</v>
      </c>
      <c r="C1609" t="s">
        <v>39</v>
      </c>
      <c r="D1609" t="s">
        <v>2780</v>
      </c>
      <c r="E1609" t="s">
        <v>2781</v>
      </c>
      <c r="F1609" t="str">
        <f>"323/329"</f>
        <v>323/329</v>
      </c>
      <c r="G1609" t="s">
        <v>720</v>
      </c>
      <c r="H1609" t="s">
        <v>2437</v>
      </c>
      <c r="I1609">
        <v>23.71</v>
      </c>
    </row>
    <row r="1610" spans="1:9" ht="12.75">
      <c r="A1610">
        <v>1605</v>
      </c>
      <c r="B1610" t="s">
        <v>2797</v>
      </c>
      <c r="C1610" t="s">
        <v>3114</v>
      </c>
      <c r="D1610" t="s">
        <v>2780</v>
      </c>
      <c r="E1610" t="s">
        <v>2973</v>
      </c>
      <c r="F1610" t="str">
        <f>"161/167"</f>
        <v>161/167</v>
      </c>
      <c r="G1610" t="s">
        <v>3261</v>
      </c>
      <c r="H1610" t="s">
        <v>2438</v>
      </c>
      <c r="I1610">
        <v>23.66</v>
      </c>
    </row>
    <row r="1611" spans="1:9" ht="12.75">
      <c r="A1611">
        <v>1606</v>
      </c>
      <c r="B1611" t="s">
        <v>3212</v>
      </c>
      <c r="C1611" t="s">
        <v>2865</v>
      </c>
      <c r="D1611" t="s">
        <v>2780</v>
      </c>
      <c r="E1611" t="s">
        <v>3209</v>
      </c>
      <c r="F1611" t="str">
        <f>"54/62"</f>
        <v>54/62</v>
      </c>
      <c r="G1611" t="s">
        <v>2243</v>
      </c>
      <c r="H1611" t="s">
        <v>2439</v>
      </c>
      <c r="I1611">
        <v>23.64</v>
      </c>
    </row>
    <row r="1612" spans="1:9" ht="12.75">
      <c r="A1612">
        <v>1607</v>
      </c>
      <c r="B1612" t="s">
        <v>2440</v>
      </c>
      <c r="C1612" t="s">
        <v>4943</v>
      </c>
      <c r="D1612" t="s">
        <v>2780</v>
      </c>
      <c r="E1612" t="s">
        <v>2818</v>
      </c>
      <c r="F1612" t="str">
        <f>"299/307"</f>
        <v>299/307</v>
      </c>
      <c r="G1612" t="s">
        <v>2441</v>
      </c>
      <c r="H1612" t="s">
        <v>2442</v>
      </c>
      <c r="I1612">
        <v>23.63</v>
      </c>
    </row>
    <row r="1613" spans="1:9" ht="12.75">
      <c r="A1613">
        <v>1608</v>
      </c>
      <c r="B1613" t="s">
        <v>2443</v>
      </c>
      <c r="C1613" t="s">
        <v>2861</v>
      </c>
      <c r="D1613" t="s">
        <v>2780</v>
      </c>
      <c r="E1613" t="s">
        <v>2823</v>
      </c>
      <c r="F1613" t="str">
        <f>"499/504"</f>
        <v>499/504</v>
      </c>
      <c r="G1613" t="s">
        <v>5006</v>
      </c>
      <c r="H1613" t="s">
        <v>2444</v>
      </c>
      <c r="I1613">
        <v>23.52</v>
      </c>
    </row>
    <row r="1614" spans="1:9" ht="12.75">
      <c r="A1614">
        <v>1609</v>
      </c>
      <c r="B1614" t="s">
        <v>1667</v>
      </c>
      <c r="C1614" t="s">
        <v>3008</v>
      </c>
      <c r="D1614" t="s">
        <v>2780</v>
      </c>
      <c r="E1614" t="s">
        <v>2781</v>
      </c>
      <c r="F1614" t="str">
        <f>"324/329"</f>
        <v>324/329</v>
      </c>
      <c r="G1614" t="s">
        <v>2445</v>
      </c>
      <c r="H1614" t="s">
        <v>2446</v>
      </c>
      <c r="I1614">
        <v>23.51</v>
      </c>
    </row>
    <row r="1615" spans="1:9" ht="12.75">
      <c r="A1615">
        <v>1610</v>
      </c>
      <c r="B1615" t="s">
        <v>2447</v>
      </c>
      <c r="C1615" t="s">
        <v>2895</v>
      </c>
      <c r="D1615" t="s">
        <v>2780</v>
      </c>
      <c r="E1615" t="s">
        <v>2781</v>
      </c>
      <c r="F1615" t="str">
        <f>"325/329"</f>
        <v>325/329</v>
      </c>
      <c r="G1615" t="s">
        <v>2370</v>
      </c>
      <c r="H1615" t="s">
        <v>2448</v>
      </c>
      <c r="I1615">
        <v>23.43</v>
      </c>
    </row>
    <row r="1616" spans="1:9" ht="12.75">
      <c r="A1616">
        <v>1611</v>
      </c>
      <c r="B1616" t="s">
        <v>2449</v>
      </c>
      <c r="C1616" t="s">
        <v>3286</v>
      </c>
      <c r="D1616" t="s">
        <v>2780</v>
      </c>
      <c r="E1616" t="s">
        <v>2818</v>
      </c>
      <c r="F1616" t="str">
        <f>"300/307"</f>
        <v>300/307</v>
      </c>
      <c r="G1616" t="s">
        <v>2370</v>
      </c>
      <c r="H1616" t="s">
        <v>2450</v>
      </c>
      <c r="I1616">
        <v>23.43</v>
      </c>
    </row>
    <row r="1617" spans="1:9" ht="12.75">
      <c r="A1617">
        <v>1612</v>
      </c>
      <c r="B1617" t="s">
        <v>2451</v>
      </c>
      <c r="C1617" t="s">
        <v>2942</v>
      </c>
      <c r="D1617" t="s">
        <v>2780</v>
      </c>
      <c r="E1617" t="s">
        <v>2823</v>
      </c>
      <c r="F1617" t="str">
        <f>"500/504"</f>
        <v>500/504</v>
      </c>
      <c r="G1617" t="s">
        <v>2370</v>
      </c>
      <c r="H1617" t="s">
        <v>2452</v>
      </c>
      <c r="I1617">
        <v>23.43</v>
      </c>
    </row>
    <row r="1618" spans="1:9" ht="12.75">
      <c r="A1618">
        <v>1613</v>
      </c>
      <c r="B1618" t="s">
        <v>2453</v>
      </c>
      <c r="C1618" t="s">
        <v>3164</v>
      </c>
      <c r="D1618" t="s">
        <v>2780</v>
      </c>
      <c r="E1618" t="s">
        <v>2823</v>
      </c>
      <c r="F1618" t="str">
        <f>"501/504"</f>
        <v>501/504</v>
      </c>
      <c r="G1618" t="s">
        <v>2370</v>
      </c>
      <c r="H1618" t="s">
        <v>2454</v>
      </c>
      <c r="I1618">
        <v>23.41</v>
      </c>
    </row>
    <row r="1619" spans="1:9" ht="12.75">
      <c r="A1619">
        <v>1614</v>
      </c>
      <c r="B1619" t="s">
        <v>1900</v>
      </c>
      <c r="C1619" t="s">
        <v>2455</v>
      </c>
      <c r="D1619" t="s">
        <v>2780</v>
      </c>
      <c r="E1619" t="s">
        <v>2818</v>
      </c>
      <c r="F1619" t="str">
        <f>"301/307"</f>
        <v>301/307</v>
      </c>
      <c r="G1619" t="s">
        <v>1901</v>
      </c>
      <c r="H1619" t="s">
        <v>2456</v>
      </c>
      <c r="I1619">
        <v>23.33</v>
      </c>
    </row>
    <row r="1620" spans="1:9" ht="12.75">
      <c r="A1620">
        <v>1615</v>
      </c>
      <c r="B1620" t="s">
        <v>2457</v>
      </c>
      <c r="C1620" t="s">
        <v>4894</v>
      </c>
      <c r="D1620" t="s">
        <v>2780</v>
      </c>
      <c r="E1620" t="s">
        <v>2818</v>
      </c>
      <c r="F1620" t="str">
        <f>"302/307"</f>
        <v>302/307</v>
      </c>
      <c r="G1620" t="s">
        <v>1878</v>
      </c>
      <c r="H1620" t="s">
        <v>2458</v>
      </c>
      <c r="I1620">
        <v>23.2</v>
      </c>
    </row>
    <row r="1621" spans="1:9" ht="12.75">
      <c r="A1621">
        <v>1616</v>
      </c>
      <c r="B1621" t="s">
        <v>280</v>
      </c>
      <c r="C1621" t="s">
        <v>3421</v>
      </c>
      <c r="D1621" t="s">
        <v>2780</v>
      </c>
      <c r="E1621" t="s">
        <v>2973</v>
      </c>
      <c r="F1621" t="str">
        <f>"162/167"</f>
        <v>162/167</v>
      </c>
      <c r="G1621" t="s">
        <v>281</v>
      </c>
      <c r="H1621" t="s">
        <v>2459</v>
      </c>
      <c r="I1621">
        <v>23.13</v>
      </c>
    </row>
    <row r="1622" spans="1:9" ht="12.75">
      <c r="A1622">
        <v>1617</v>
      </c>
      <c r="B1622" t="s">
        <v>2460</v>
      </c>
      <c r="C1622" t="s">
        <v>2461</v>
      </c>
      <c r="D1622" t="s">
        <v>2780</v>
      </c>
      <c r="E1622" t="s">
        <v>3209</v>
      </c>
      <c r="F1622" t="str">
        <f>"55/62"</f>
        <v>55/62</v>
      </c>
      <c r="G1622" t="s">
        <v>5241</v>
      </c>
      <c r="H1622" t="s">
        <v>2462</v>
      </c>
      <c r="I1622">
        <v>23.1</v>
      </c>
    </row>
    <row r="1623" spans="1:9" ht="12.75">
      <c r="A1623">
        <v>1618</v>
      </c>
      <c r="B1623" t="s">
        <v>2463</v>
      </c>
      <c r="C1623" t="s">
        <v>2914</v>
      </c>
      <c r="D1623" t="s">
        <v>2780</v>
      </c>
      <c r="E1623" t="s">
        <v>2781</v>
      </c>
      <c r="F1623" t="str">
        <f>"326/329"</f>
        <v>326/329</v>
      </c>
      <c r="G1623" t="s">
        <v>2464</v>
      </c>
      <c r="H1623" t="s">
        <v>2465</v>
      </c>
      <c r="I1623">
        <v>23.08</v>
      </c>
    </row>
    <row r="1624" spans="1:9" ht="12.75">
      <c r="A1624">
        <v>1619</v>
      </c>
      <c r="B1624" t="s">
        <v>2466</v>
      </c>
      <c r="C1624" t="s">
        <v>2857</v>
      </c>
      <c r="D1624" t="s">
        <v>2780</v>
      </c>
      <c r="E1624" t="s">
        <v>2818</v>
      </c>
      <c r="F1624" t="str">
        <f>"303/307"</f>
        <v>303/307</v>
      </c>
      <c r="G1624" t="s">
        <v>2467</v>
      </c>
      <c r="H1624" t="s">
        <v>2468</v>
      </c>
      <c r="I1624">
        <v>23.03</v>
      </c>
    </row>
    <row r="1625" spans="1:9" ht="12.75">
      <c r="A1625">
        <v>1620</v>
      </c>
      <c r="B1625" t="s">
        <v>2469</v>
      </c>
      <c r="C1625" t="s">
        <v>2942</v>
      </c>
      <c r="D1625" t="s">
        <v>2780</v>
      </c>
      <c r="E1625" t="s">
        <v>2823</v>
      </c>
      <c r="F1625" t="str">
        <f>"502/504"</f>
        <v>502/504</v>
      </c>
      <c r="G1625" t="s">
        <v>1878</v>
      </c>
      <c r="H1625" t="s">
        <v>2470</v>
      </c>
      <c r="I1625">
        <v>22.98</v>
      </c>
    </row>
    <row r="1626" spans="1:9" ht="12.75">
      <c r="A1626">
        <v>1621</v>
      </c>
      <c r="B1626" t="s">
        <v>2471</v>
      </c>
      <c r="C1626" t="s">
        <v>2966</v>
      </c>
      <c r="D1626" t="s">
        <v>2780</v>
      </c>
      <c r="E1626" t="s">
        <v>2818</v>
      </c>
      <c r="F1626" t="str">
        <f>"304/307"</f>
        <v>304/307</v>
      </c>
      <c r="G1626" t="s">
        <v>3543</v>
      </c>
      <c r="H1626" t="s">
        <v>2472</v>
      </c>
      <c r="I1626">
        <v>22.97</v>
      </c>
    </row>
    <row r="1627" spans="1:9" ht="12.75">
      <c r="A1627">
        <v>1622</v>
      </c>
      <c r="B1627" t="s">
        <v>2473</v>
      </c>
      <c r="C1627" t="s">
        <v>3438</v>
      </c>
      <c r="D1627" t="s">
        <v>2780</v>
      </c>
      <c r="E1627" t="s">
        <v>2818</v>
      </c>
      <c r="F1627" t="str">
        <f>"305/307"</f>
        <v>305/307</v>
      </c>
      <c r="G1627" t="s">
        <v>1878</v>
      </c>
      <c r="H1627" t="s">
        <v>2474</v>
      </c>
      <c r="I1627">
        <v>22.97</v>
      </c>
    </row>
    <row r="1628" spans="1:9" ht="12.75">
      <c r="A1628">
        <v>1623</v>
      </c>
      <c r="B1628" t="s">
        <v>2475</v>
      </c>
      <c r="C1628" t="s">
        <v>2836</v>
      </c>
      <c r="D1628" t="s">
        <v>2780</v>
      </c>
      <c r="E1628" t="s">
        <v>2818</v>
      </c>
      <c r="F1628" t="str">
        <f>"306/307"</f>
        <v>306/307</v>
      </c>
      <c r="G1628" t="s">
        <v>3289</v>
      </c>
      <c r="H1628" t="s">
        <v>2476</v>
      </c>
      <c r="I1628">
        <v>22.89</v>
      </c>
    </row>
    <row r="1629" spans="1:9" ht="12.75">
      <c r="A1629">
        <v>1624</v>
      </c>
      <c r="B1629" t="s">
        <v>4887</v>
      </c>
      <c r="C1629" t="s">
        <v>2477</v>
      </c>
      <c r="D1629" t="s">
        <v>3031</v>
      </c>
      <c r="E1629" t="s">
        <v>3244</v>
      </c>
      <c r="F1629" t="str">
        <f>"60/63"</f>
        <v>60/63</v>
      </c>
      <c r="G1629" t="s">
        <v>3289</v>
      </c>
      <c r="H1629" t="s">
        <v>2478</v>
      </c>
      <c r="I1629">
        <v>22.89</v>
      </c>
    </row>
    <row r="1630" spans="1:9" ht="12.75">
      <c r="A1630">
        <v>1625</v>
      </c>
      <c r="B1630" t="s">
        <v>2479</v>
      </c>
      <c r="C1630" t="s">
        <v>5084</v>
      </c>
      <c r="D1630" t="s">
        <v>2780</v>
      </c>
      <c r="E1630" t="s">
        <v>3209</v>
      </c>
      <c r="F1630" t="str">
        <f>"56/62"</f>
        <v>56/62</v>
      </c>
      <c r="G1630" t="s">
        <v>5502</v>
      </c>
      <c r="H1630" t="s">
        <v>2480</v>
      </c>
      <c r="I1630">
        <v>22.82</v>
      </c>
    </row>
    <row r="1631" spans="1:9" ht="12.75">
      <c r="A1631">
        <v>1626</v>
      </c>
      <c r="B1631" t="s">
        <v>2481</v>
      </c>
      <c r="C1631" t="s">
        <v>2914</v>
      </c>
      <c r="D1631" t="s">
        <v>2780</v>
      </c>
      <c r="E1631" t="s">
        <v>2799</v>
      </c>
      <c r="F1631" t="str">
        <f>"98/99"</f>
        <v>98/99</v>
      </c>
      <c r="G1631" t="s">
        <v>2482</v>
      </c>
      <c r="H1631" t="s">
        <v>2483</v>
      </c>
      <c r="I1631">
        <v>22.68</v>
      </c>
    </row>
    <row r="1632" spans="1:9" ht="12.75">
      <c r="A1632">
        <v>1627</v>
      </c>
      <c r="B1632" t="s">
        <v>2484</v>
      </c>
      <c r="C1632" t="s">
        <v>1149</v>
      </c>
      <c r="D1632" t="s">
        <v>3031</v>
      </c>
      <c r="E1632" t="s">
        <v>3244</v>
      </c>
      <c r="F1632" t="str">
        <f>"61/63"</f>
        <v>61/63</v>
      </c>
      <c r="G1632" t="s">
        <v>607</v>
      </c>
      <c r="H1632" t="s">
        <v>2485</v>
      </c>
      <c r="I1632">
        <v>22.58</v>
      </c>
    </row>
    <row r="1633" spans="1:9" ht="12.75">
      <c r="A1633">
        <v>1628</v>
      </c>
      <c r="B1633" t="s">
        <v>2486</v>
      </c>
      <c r="C1633" t="s">
        <v>2857</v>
      </c>
      <c r="D1633" t="s">
        <v>2780</v>
      </c>
      <c r="E1633" t="s">
        <v>2818</v>
      </c>
      <c r="F1633" t="str">
        <f>"307/307"</f>
        <v>307/307</v>
      </c>
      <c r="G1633" t="s">
        <v>607</v>
      </c>
      <c r="H1633" t="s">
        <v>2487</v>
      </c>
      <c r="I1633">
        <v>22.58</v>
      </c>
    </row>
    <row r="1634" spans="1:9" ht="12.75">
      <c r="A1634">
        <v>1629</v>
      </c>
      <c r="B1634" t="s">
        <v>490</v>
      </c>
      <c r="C1634" t="s">
        <v>2488</v>
      </c>
      <c r="D1634" t="s">
        <v>3031</v>
      </c>
      <c r="E1634" t="s">
        <v>3209</v>
      </c>
      <c r="F1634" t="str">
        <f>"57/62"</f>
        <v>57/62</v>
      </c>
      <c r="G1634" t="s">
        <v>2489</v>
      </c>
      <c r="H1634" t="s">
        <v>2490</v>
      </c>
      <c r="I1634">
        <v>22.58</v>
      </c>
    </row>
    <row r="1635" spans="1:9" ht="12.75">
      <c r="A1635">
        <v>1630</v>
      </c>
      <c r="B1635" t="s">
        <v>3120</v>
      </c>
      <c r="C1635" t="s">
        <v>2491</v>
      </c>
      <c r="D1635" t="s">
        <v>2780</v>
      </c>
      <c r="E1635" t="s">
        <v>2973</v>
      </c>
      <c r="F1635" t="str">
        <f>"163/167"</f>
        <v>163/167</v>
      </c>
      <c r="G1635" t="s">
        <v>2489</v>
      </c>
      <c r="H1635" t="s">
        <v>2492</v>
      </c>
      <c r="I1635">
        <v>22.56</v>
      </c>
    </row>
    <row r="1636" spans="1:9" ht="12.75">
      <c r="A1636">
        <v>1631</v>
      </c>
      <c r="B1636" t="s">
        <v>2493</v>
      </c>
      <c r="C1636" t="s">
        <v>2494</v>
      </c>
      <c r="D1636" t="s">
        <v>2780</v>
      </c>
      <c r="E1636" t="s">
        <v>2973</v>
      </c>
      <c r="F1636" t="str">
        <f>"164/167"</f>
        <v>164/167</v>
      </c>
      <c r="G1636" t="s">
        <v>2489</v>
      </c>
      <c r="H1636" t="s">
        <v>2495</v>
      </c>
      <c r="I1636">
        <v>22.56</v>
      </c>
    </row>
    <row r="1637" spans="1:9" ht="12.75">
      <c r="A1637">
        <v>1632</v>
      </c>
      <c r="B1637" t="s">
        <v>2496</v>
      </c>
      <c r="C1637" t="s">
        <v>2497</v>
      </c>
      <c r="D1637" t="s">
        <v>2780</v>
      </c>
      <c r="E1637" t="s">
        <v>2973</v>
      </c>
      <c r="F1637" t="str">
        <f>"165/167"</f>
        <v>165/167</v>
      </c>
      <c r="G1637" t="s">
        <v>2498</v>
      </c>
      <c r="H1637" t="s">
        <v>2499</v>
      </c>
      <c r="I1637">
        <v>22.48</v>
      </c>
    </row>
    <row r="1638" spans="1:9" ht="12.75">
      <c r="A1638">
        <v>1633</v>
      </c>
      <c r="B1638" t="s">
        <v>2500</v>
      </c>
      <c r="C1638" t="s">
        <v>2501</v>
      </c>
      <c r="D1638" t="s">
        <v>2780</v>
      </c>
      <c r="E1638" t="s">
        <v>3209</v>
      </c>
      <c r="F1638" t="str">
        <f>"58/62"</f>
        <v>58/62</v>
      </c>
      <c r="G1638" t="s">
        <v>2498</v>
      </c>
      <c r="H1638" t="s">
        <v>2502</v>
      </c>
      <c r="I1638">
        <v>22.37</v>
      </c>
    </row>
    <row r="1639" spans="1:9" ht="12.75">
      <c r="A1639">
        <v>1634</v>
      </c>
      <c r="B1639" t="s">
        <v>2503</v>
      </c>
      <c r="C1639" t="s">
        <v>2868</v>
      </c>
      <c r="D1639" t="s">
        <v>2780</v>
      </c>
      <c r="E1639" t="s">
        <v>2781</v>
      </c>
      <c r="F1639" t="str">
        <f>"327/329"</f>
        <v>327/329</v>
      </c>
      <c r="G1639" t="s">
        <v>1130</v>
      </c>
      <c r="H1639" t="s">
        <v>2504</v>
      </c>
      <c r="I1639">
        <v>22.34</v>
      </c>
    </row>
    <row r="1640" spans="1:9" ht="12.75">
      <c r="A1640">
        <v>1635</v>
      </c>
      <c r="B1640" t="s">
        <v>2505</v>
      </c>
      <c r="C1640" t="s">
        <v>2506</v>
      </c>
      <c r="D1640" t="s">
        <v>3031</v>
      </c>
      <c r="E1640" t="s">
        <v>3032</v>
      </c>
      <c r="F1640" t="str">
        <f>"51/54"</f>
        <v>51/54</v>
      </c>
      <c r="G1640" t="s">
        <v>3206</v>
      </c>
      <c r="H1640" t="s">
        <v>2507</v>
      </c>
      <c r="I1640">
        <v>22.2</v>
      </c>
    </row>
    <row r="1641" spans="1:9" ht="12.75">
      <c r="A1641">
        <v>1636</v>
      </c>
      <c r="B1641" t="s">
        <v>2508</v>
      </c>
      <c r="C1641" t="s">
        <v>5387</v>
      </c>
      <c r="D1641" t="s">
        <v>2780</v>
      </c>
      <c r="E1641" t="s">
        <v>2799</v>
      </c>
      <c r="F1641" t="str">
        <f>"99/99"</f>
        <v>99/99</v>
      </c>
      <c r="G1641" t="s">
        <v>5546</v>
      </c>
      <c r="H1641" t="s">
        <v>2509</v>
      </c>
      <c r="I1641">
        <v>22.19</v>
      </c>
    </row>
    <row r="1642" spans="1:9" ht="12.75">
      <c r="A1642">
        <v>1637</v>
      </c>
      <c r="B1642" t="s">
        <v>2510</v>
      </c>
      <c r="C1642" t="s">
        <v>54</v>
      </c>
      <c r="D1642" t="s">
        <v>2780</v>
      </c>
      <c r="E1642" t="s">
        <v>3209</v>
      </c>
      <c r="F1642" t="str">
        <f>"59/62"</f>
        <v>59/62</v>
      </c>
      <c r="G1642" t="s">
        <v>5546</v>
      </c>
      <c r="H1642" t="s">
        <v>2511</v>
      </c>
      <c r="I1642">
        <v>22.11</v>
      </c>
    </row>
    <row r="1643" spans="1:9" ht="12.75">
      <c r="A1643">
        <v>1638</v>
      </c>
      <c r="B1643" t="s">
        <v>5381</v>
      </c>
      <c r="C1643" t="s">
        <v>84</v>
      </c>
      <c r="D1643" t="s">
        <v>2780</v>
      </c>
      <c r="E1643" t="s">
        <v>2973</v>
      </c>
      <c r="F1643" t="str">
        <f>"166/167"</f>
        <v>166/167</v>
      </c>
      <c r="G1643" t="s">
        <v>3322</v>
      </c>
      <c r="H1643" t="s">
        <v>2512</v>
      </c>
      <c r="I1643">
        <v>22.03</v>
      </c>
    </row>
    <row r="1644" spans="1:9" ht="12.75">
      <c r="A1644">
        <v>1639</v>
      </c>
      <c r="B1644" t="s">
        <v>233</v>
      </c>
      <c r="C1644" t="s">
        <v>2513</v>
      </c>
      <c r="D1644" t="s">
        <v>3031</v>
      </c>
      <c r="E1644" t="s">
        <v>3032</v>
      </c>
      <c r="F1644" t="str">
        <f>"52/54"</f>
        <v>52/54</v>
      </c>
      <c r="G1644" t="s">
        <v>2514</v>
      </c>
      <c r="H1644" t="s">
        <v>2515</v>
      </c>
      <c r="I1644">
        <v>21.91</v>
      </c>
    </row>
    <row r="1645" spans="1:9" ht="12.75">
      <c r="A1645">
        <v>1640</v>
      </c>
      <c r="B1645" t="s">
        <v>2516</v>
      </c>
      <c r="C1645" t="s">
        <v>2517</v>
      </c>
      <c r="D1645" t="s">
        <v>3031</v>
      </c>
      <c r="E1645" t="s">
        <v>3032</v>
      </c>
      <c r="F1645" t="str">
        <f>"53/54"</f>
        <v>53/54</v>
      </c>
      <c r="G1645" t="s">
        <v>908</v>
      </c>
      <c r="H1645" t="s">
        <v>2518</v>
      </c>
      <c r="I1645">
        <v>21.83</v>
      </c>
    </row>
    <row r="1646" spans="1:9" ht="12.75">
      <c r="A1646">
        <v>1641</v>
      </c>
      <c r="B1646" t="s">
        <v>2519</v>
      </c>
      <c r="C1646" t="s">
        <v>3346</v>
      </c>
      <c r="D1646" t="s">
        <v>2780</v>
      </c>
      <c r="E1646" t="s">
        <v>2973</v>
      </c>
      <c r="F1646" t="str">
        <f>"167/167"</f>
        <v>167/167</v>
      </c>
      <c r="G1646" t="s">
        <v>2290</v>
      </c>
      <c r="H1646" t="s">
        <v>2520</v>
      </c>
      <c r="I1646">
        <v>21.82</v>
      </c>
    </row>
    <row r="1647" spans="1:9" ht="12.75">
      <c r="A1647">
        <v>1642</v>
      </c>
      <c r="B1647" t="s">
        <v>3054</v>
      </c>
      <c r="C1647" t="s">
        <v>3205</v>
      </c>
      <c r="D1647" t="s">
        <v>2780</v>
      </c>
      <c r="E1647" t="s">
        <v>2781</v>
      </c>
      <c r="F1647" t="str">
        <f>"328/329"</f>
        <v>328/329</v>
      </c>
      <c r="G1647" t="s">
        <v>2974</v>
      </c>
      <c r="H1647" t="s">
        <v>2521</v>
      </c>
      <c r="I1647">
        <v>21.69</v>
      </c>
    </row>
    <row r="1648" spans="1:9" ht="12.75">
      <c r="A1648">
        <v>1643</v>
      </c>
      <c r="B1648" t="s">
        <v>2522</v>
      </c>
      <c r="C1648" t="s">
        <v>2523</v>
      </c>
      <c r="D1648" t="s">
        <v>3031</v>
      </c>
      <c r="E1648" t="s">
        <v>3032</v>
      </c>
      <c r="F1648" t="str">
        <f>"54/54"</f>
        <v>54/54</v>
      </c>
      <c r="G1648" t="s">
        <v>3206</v>
      </c>
      <c r="H1648" t="s">
        <v>2524</v>
      </c>
      <c r="I1648">
        <v>21.61</v>
      </c>
    </row>
    <row r="1649" spans="1:9" ht="12.75">
      <c r="A1649">
        <v>1644</v>
      </c>
      <c r="B1649" t="s">
        <v>2525</v>
      </c>
      <c r="C1649" t="s">
        <v>2526</v>
      </c>
      <c r="D1649" t="s">
        <v>2780</v>
      </c>
      <c r="E1649" t="s">
        <v>2823</v>
      </c>
      <c r="F1649" t="str">
        <f>"503/504"</f>
        <v>503/504</v>
      </c>
      <c r="G1649" t="s">
        <v>2363</v>
      </c>
      <c r="H1649" t="s">
        <v>2527</v>
      </c>
      <c r="I1649">
        <v>21.49</v>
      </c>
    </row>
    <row r="1650" spans="1:9" ht="12.75">
      <c r="A1650">
        <v>1645</v>
      </c>
      <c r="B1650" t="s">
        <v>2528</v>
      </c>
      <c r="C1650" t="s">
        <v>2966</v>
      </c>
      <c r="D1650" t="s">
        <v>2780</v>
      </c>
      <c r="E1650" t="s">
        <v>3209</v>
      </c>
      <c r="F1650" t="str">
        <f>"60/62"</f>
        <v>60/62</v>
      </c>
      <c r="G1650" t="s">
        <v>2529</v>
      </c>
      <c r="H1650" t="s">
        <v>2530</v>
      </c>
      <c r="I1650">
        <v>21.33</v>
      </c>
    </row>
    <row r="1651" spans="1:9" ht="12.75">
      <c r="A1651">
        <v>1646</v>
      </c>
      <c r="B1651" t="s">
        <v>2531</v>
      </c>
      <c r="C1651" t="s">
        <v>2817</v>
      </c>
      <c r="D1651" t="s">
        <v>2780</v>
      </c>
      <c r="E1651" t="s">
        <v>3209</v>
      </c>
      <c r="F1651" t="str">
        <f>"61/62"</f>
        <v>61/62</v>
      </c>
      <c r="G1651" t="s">
        <v>1139</v>
      </c>
      <c r="H1651" t="s">
        <v>2532</v>
      </c>
      <c r="I1651">
        <v>21.3</v>
      </c>
    </row>
    <row r="1652" spans="1:9" ht="12.75">
      <c r="A1652">
        <v>1647</v>
      </c>
      <c r="B1652" t="s">
        <v>2533</v>
      </c>
      <c r="C1652" t="s">
        <v>2876</v>
      </c>
      <c r="D1652" t="s">
        <v>2780</v>
      </c>
      <c r="E1652" t="s">
        <v>2823</v>
      </c>
      <c r="F1652" t="str">
        <f>"504/504"</f>
        <v>504/504</v>
      </c>
      <c r="G1652" t="s">
        <v>2787</v>
      </c>
      <c r="H1652" t="s">
        <v>2534</v>
      </c>
      <c r="I1652">
        <v>20.99</v>
      </c>
    </row>
    <row r="1653" spans="1:9" ht="12.75">
      <c r="A1653">
        <v>1648</v>
      </c>
      <c r="B1653" t="s">
        <v>2535</v>
      </c>
      <c r="C1653" t="s">
        <v>2536</v>
      </c>
      <c r="D1653" t="s">
        <v>3031</v>
      </c>
      <c r="E1653" t="s">
        <v>3244</v>
      </c>
      <c r="F1653" t="str">
        <f>"62/63"</f>
        <v>62/63</v>
      </c>
      <c r="G1653" t="s">
        <v>2537</v>
      </c>
      <c r="H1653" t="s">
        <v>2538</v>
      </c>
      <c r="I1653">
        <v>20.83</v>
      </c>
    </row>
    <row r="1654" spans="1:9" ht="12.75">
      <c r="A1654">
        <v>1649</v>
      </c>
      <c r="B1654" t="s">
        <v>2539</v>
      </c>
      <c r="C1654" t="s">
        <v>504</v>
      </c>
      <c r="D1654" t="s">
        <v>2780</v>
      </c>
      <c r="E1654" t="s">
        <v>2781</v>
      </c>
      <c r="F1654" t="str">
        <f>"329/329"</f>
        <v>329/329</v>
      </c>
      <c r="G1654" t="s">
        <v>2540</v>
      </c>
      <c r="H1654" t="s">
        <v>2541</v>
      </c>
      <c r="I1654">
        <v>20.69</v>
      </c>
    </row>
    <row r="1655" spans="1:9" ht="12.75">
      <c r="A1655">
        <v>1650</v>
      </c>
      <c r="B1655" t="s">
        <v>2542</v>
      </c>
      <c r="C1655" t="s">
        <v>2543</v>
      </c>
      <c r="D1655" t="s">
        <v>2780</v>
      </c>
      <c r="E1655" t="s">
        <v>3209</v>
      </c>
      <c r="F1655" t="str">
        <f>"62/62"</f>
        <v>62/62</v>
      </c>
      <c r="G1655" t="s">
        <v>369</v>
      </c>
      <c r="H1655" t="s">
        <v>2544</v>
      </c>
      <c r="I1655">
        <v>19.51</v>
      </c>
    </row>
    <row r="1656" spans="1:9" ht="12.75">
      <c r="A1656">
        <v>1651</v>
      </c>
      <c r="B1656" t="s">
        <v>54</v>
      </c>
      <c r="C1656" t="s">
        <v>2545</v>
      </c>
      <c r="D1656" t="s">
        <v>3031</v>
      </c>
      <c r="E1656" t="s">
        <v>3244</v>
      </c>
      <c r="F1656" t="str">
        <f>"63/63"</f>
        <v>63/63</v>
      </c>
      <c r="G1656" t="s">
        <v>2546</v>
      </c>
      <c r="H1656" t="s">
        <v>2547</v>
      </c>
      <c r="I1656">
        <v>18.72</v>
      </c>
    </row>
  </sheetData>
  <autoFilter ref="A5:I1656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1">
      <selection activeCell="C148" sqref="C148"/>
    </sheetView>
  </sheetViews>
  <sheetFormatPr defaultColWidth="9.140625" defaultRowHeight="12.75"/>
  <cols>
    <col min="2" max="2" width="18.28125" style="0" customWidth="1"/>
    <col min="3" max="3" width="19.8515625" style="0" customWidth="1"/>
    <col min="7" max="7" width="39.00390625" style="0" customWidth="1"/>
  </cols>
  <sheetData>
    <row r="1" spans="1:9" ht="12.75">
      <c r="A1" s="6" t="s">
        <v>6988</v>
      </c>
      <c r="B1" s="6"/>
      <c r="C1" s="6"/>
      <c r="D1" s="6"/>
      <c r="E1" s="6"/>
      <c r="F1" s="6"/>
      <c r="G1" s="6"/>
      <c r="H1" s="6"/>
      <c r="I1" s="6"/>
    </row>
    <row r="2" spans="1:9" s="1" customFormat="1" ht="12.75">
      <c r="A2" s="3">
        <v>128</v>
      </c>
      <c r="B2" s="3" t="s">
        <v>1466</v>
      </c>
      <c r="C2" s="3" t="s">
        <v>2966</v>
      </c>
      <c r="D2" s="3" t="s">
        <v>2780</v>
      </c>
      <c r="E2" s="3" t="s">
        <v>2823</v>
      </c>
      <c r="F2" s="3" t="s">
        <v>1554</v>
      </c>
      <c r="G2" s="3" t="s">
        <v>5536</v>
      </c>
      <c r="H2" s="3" t="s">
        <v>1467</v>
      </c>
      <c r="I2" s="3">
        <v>25.87</v>
      </c>
    </row>
    <row r="3" spans="1:9" s="1" customFormat="1" ht="12.75">
      <c r="A3" s="3">
        <v>138</v>
      </c>
      <c r="B3" s="3" t="s">
        <v>1484</v>
      </c>
      <c r="C3" s="3" t="s">
        <v>3455</v>
      </c>
      <c r="D3" s="3" t="s">
        <v>3031</v>
      </c>
      <c r="E3" s="3" t="s">
        <v>3032</v>
      </c>
      <c r="F3" s="3" t="s">
        <v>1555</v>
      </c>
      <c r="G3" s="3" t="s">
        <v>5536</v>
      </c>
      <c r="H3" s="3" t="s">
        <v>1485</v>
      </c>
      <c r="I3" s="3">
        <v>25.14</v>
      </c>
    </row>
    <row r="4" spans="1:9" s="1" customFormat="1" ht="12.75">
      <c r="A4" s="3">
        <v>141</v>
      </c>
      <c r="B4" s="3" t="s">
        <v>1489</v>
      </c>
      <c r="C4" s="3" t="s">
        <v>2857</v>
      </c>
      <c r="D4" s="3" t="s">
        <v>2780</v>
      </c>
      <c r="E4" s="3" t="s">
        <v>2818</v>
      </c>
      <c r="F4" s="3" t="s">
        <v>1556</v>
      </c>
      <c r="G4" s="3" t="s">
        <v>5536</v>
      </c>
      <c r="H4" s="3" t="s">
        <v>1490</v>
      </c>
      <c r="I4" s="3">
        <v>24.87</v>
      </c>
    </row>
    <row r="5" spans="1:9" s="1" customFormat="1" ht="12.75">
      <c r="A5" s="3">
        <v>142</v>
      </c>
      <c r="B5" s="3" t="s">
        <v>1491</v>
      </c>
      <c r="C5" s="3" t="s">
        <v>1201</v>
      </c>
      <c r="D5" s="3" t="s">
        <v>3031</v>
      </c>
      <c r="E5" s="3" t="s">
        <v>3244</v>
      </c>
      <c r="F5" s="3" t="s">
        <v>1557</v>
      </c>
      <c r="G5" s="3" t="s">
        <v>5536</v>
      </c>
      <c r="H5" s="3" t="s">
        <v>1492</v>
      </c>
      <c r="I5" s="3">
        <v>24.86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t="s">
        <v>2769</v>
      </c>
      <c r="B7" t="s">
        <v>2770</v>
      </c>
      <c r="C7" t="s">
        <v>2771</v>
      </c>
      <c r="D7" t="s">
        <v>2772</v>
      </c>
      <c r="E7" t="s">
        <v>2773</v>
      </c>
      <c r="F7" t="s">
        <v>2774</v>
      </c>
      <c r="G7" t="s">
        <v>2775</v>
      </c>
      <c r="H7" t="s">
        <v>2776</v>
      </c>
      <c r="I7" t="s">
        <v>2777</v>
      </c>
    </row>
    <row r="8" spans="1:9" ht="12.75">
      <c r="A8">
        <v>1</v>
      </c>
      <c r="B8" t="s">
        <v>1209</v>
      </c>
      <c r="C8" t="s">
        <v>2857</v>
      </c>
      <c r="D8" t="s">
        <v>2780</v>
      </c>
      <c r="E8" t="s">
        <v>2823</v>
      </c>
      <c r="F8" t="str">
        <f>"1/33"</f>
        <v>1/33</v>
      </c>
      <c r="G8" t="s">
        <v>1210</v>
      </c>
      <c r="H8" t="s">
        <v>1211</v>
      </c>
      <c r="I8">
        <v>37.08</v>
      </c>
    </row>
    <row r="9" spans="1:9" ht="12.75">
      <c r="A9">
        <v>2</v>
      </c>
      <c r="B9" t="s">
        <v>1212</v>
      </c>
      <c r="C9" t="s">
        <v>3164</v>
      </c>
      <c r="D9" t="s">
        <v>2780</v>
      </c>
      <c r="E9" t="s">
        <v>2781</v>
      </c>
      <c r="F9" t="str">
        <f>"1/28"</f>
        <v>1/28</v>
      </c>
      <c r="G9" t="s">
        <v>1213</v>
      </c>
      <c r="H9" t="s">
        <v>1214</v>
      </c>
      <c r="I9">
        <v>37.08</v>
      </c>
    </row>
    <row r="10" spans="1:9" ht="12.75">
      <c r="A10">
        <v>3</v>
      </c>
      <c r="B10" t="s">
        <v>1215</v>
      </c>
      <c r="C10" t="s">
        <v>2794</v>
      </c>
      <c r="D10" t="s">
        <v>2780</v>
      </c>
      <c r="E10" t="s">
        <v>2799</v>
      </c>
      <c r="F10" t="str">
        <f>"1/10"</f>
        <v>1/10</v>
      </c>
      <c r="G10" t="s">
        <v>3261</v>
      </c>
      <c r="H10" t="s">
        <v>1216</v>
      </c>
      <c r="I10">
        <v>36.76</v>
      </c>
    </row>
    <row r="11" spans="1:9" ht="12.75">
      <c r="A11">
        <v>4</v>
      </c>
      <c r="B11" t="s">
        <v>3212</v>
      </c>
      <c r="C11" t="s">
        <v>2991</v>
      </c>
      <c r="D11" t="s">
        <v>2780</v>
      </c>
      <c r="E11" t="s">
        <v>2786</v>
      </c>
      <c r="F11" t="str">
        <f>"1/2"</f>
        <v>1/2</v>
      </c>
      <c r="G11" t="s">
        <v>3507</v>
      </c>
      <c r="H11" t="s">
        <v>1217</v>
      </c>
      <c r="I11">
        <v>36.2</v>
      </c>
    </row>
    <row r="12" spans="1:9" ht="12.75">
      <c r="A12">
        <v>5</v>
      </c>
      <c r="B12" t="s">
        <v>7727</v>
      </c>
      <c r="C12" t="s">
        <v>2857</v>
      </c>
      <c r="D12" t="s">
        <v>2780</v>
      </c>
      <c r="E12" t="s">
        <v>2781</v>
      </c>
      <c r="F12" t="str">
        <f>"2/28"</f>
        <v>2/28</v>
      </c>
      <c r="G12" t="s">
        <v>5200</v>
      </c>
      <c r="H12" t="s">
        <v>1218</v>
      </c>
      <c r="I12">
        <v>36.18</v>
      </c>
    </row>
    <row r="13" spans="1:9" ht="12.75">
      <c r="A13">
        <v>6</v>
      </c>
      <c r="B13" t="s">
        <v>1219</v>
      </c>
      <c r="C13" t="s">
        <v>1220</v>
      </c>
      <c r="D13" t="s">
        <v>2780</v>
      </c>
      <c r="E13" t="s">
        <v>2818</v>
      </c>
      <c r="F13" t="str">
        <f>"1/23"</f>
        <v>1/23</v>
      </c>
      <c r="G13" t="s">
        <v>1221</v>
      </c>
      <c r="H13" t="s">
        <v>1222</v>
      </c>
      <c r="I13">
        <v>35.51</v>
      </c>
    </row>
    <row r="14" spans="1:9" ht="12.75">
      <c r="A14">
        <v>7</v>
      </c>
      <c r="B14" t="s">
        <v>3183</v>
      </c>
      <c r="C14" t="s">
        <v>1690</v>
      </c>
      <c r="D14" t="s">
        <v>3031</v>
      </c>
      <c r="E14" t="s">
        <v>3244</v>
      </c>
      <c r="F14" t="str">
        <f>"1/7"</f>
        <v>1/7</v>
      </c>
      <c r="G14" t="s">
        <v>720</v>
      </c>
      <c r="H14" t="s">
        <v>1223</v>
      </c>
      <c r="I14">
        <v>35.5</v>
      </c>
    </row>
    <row r="15" spans="1:9" ht="12.75">
      <c r="A15">
        <v>8</v>
      </c>
      <c r="B15" t="s">
        <v>819</v>
      </c>
      <c r="C15" t="s">
        <v>2868</v>
      </c>
      <c r="D15" t="s">
        <v>2780</v>
      </c>
      <c r="E15" t="s">
        <v>2823</v>
      </c>
      <c r="F15" t="str">
        <f>"2/33"</f>
        <v>2/33</v>
      </c>
      <c r="G15" t="s">
        <v>720</v>
      </c>
      <c r="H15" t="s">
        <v>1224</v>
      </c>
      <c r="I15">
        <v>35.47</v>
      </c>
    </row>
    <row r="16" spans="1:9" ht="12.75">
      <c r="A16">
        <v>9</v>
      </c>
      <c r="B16" t="s">
        <v>1225</v>
      </c>
      <c r="C16" t="s">
        <v>5379</v>
      </c>
      <c r="D16" t="s">
        <v>2780</v>
      </c>
      <c r="E16" t="s">
        <v>2823</v>
      </c>
      <c r="F16" t="str">
        <f>"3/33"</f>
        <v>3/33</v>
      </c>
      <c r="G16" t="s">
        <v>720</v>
      </c>
      <c r="H16" t="s">
        <v>1226</v>
      </c>
      <c r="I16">
        <v>35.46</v>
      </c>
    </row>
    <row r="17" spans="1:9" ht="12.75">
      <c r="A17">
        <v>10</v>
      </c>
      <c r="B17" t="s">
        <v>1227</v>
      </c>
      <c r="C17" t="s">
        <v>3438</v>
      </c>
      <c r="D17" t="s">
        <v>2780</v>
      </c>
      <c r="E17" t="s">
        <v>2823</v>
      </c>
      <c r="F17" t="str">
        <f>"4/33"</f>
        <v>4/33</v>
      </c>
      <c r="G17" t="s">
        <v>152</v>
      </c>
      <c r="H17" t="s">
        <v>1228</v>
      </c>
      <c r="I17">
        <v>34.8</v>
      </c>
    </row>
    <row r="18" spans="1:9" ht="12.75">
      <c r="A18">
        <v>11</v>
      </c>
      <c r="B18" t="s">
        <v>1229</v>
      </c>
      <c r="C18" t="s">
        <v>1230</v>
      </c>
      <c r="D18" t="s">
        <v>2780</v>
      </c>
      <c r="E18" t="s">
        <v>2781</v>
      </c>
      <c r="F18" t="str">
        <f>"3/28"</f>
        <v>3/28</v>
      </c>
      <c r="G18" t="s">
        <v>7445</v>
      </c>
      <c r="H18" t="s">
        <v>1231</v>
      </c>
      <c r="I18">
        <v>34.78</v>
      </c>
    </row>
    <row r="19" spans="1:9" ht="12.75">
      <c r="A19">
        <v>12</v>
      </c>
      <c r="B19" t="s">
        <v>1232</v>
      </c>
      <c r="C19" t="s">
        <v>615</v>
      </c>
      <c r="D19" t="s">
        <v>2780</v>
      </c>
      <c r="E19" t="s">
        <v>2781</v>
      </c>
      <c r="F19" t="str">
        <f>"4/28"</f>
        <v>4/28</v>
      </c>
      <c r="G19" t="s">
        <v>1233</v>
      </c>
      <c r="H19" t="s">
        <v>1234</v>
      </c>
      <c r="I19">
        <v>34.68</v>
      </c>
    </row>
    <row r="20" spans="1:9" ht="12.75">
      <c r="A20">
        <v>13</v>
      </c>
      <c r="B20" t="s">
        <v>1235</v>
      </c>
      <c r="C20" t="s">
        <v>1236</v>
      </c>
      <c r="D20" t="s">
        <v>2780</v>
      </c>
      <c r="E20" t="s">
        <v>2973</v>
      </c>
      <c r="F20" t="str">
        <f>"1/31"</f>
        <v>1/31</v>
      </c>
      <c r="G20" t="s">
        <v>2243</v>
      </c>
      <c r="H20" t="s">
        <v>1237</v>
      </c>
      <c r="I20">
        <v>34.55</v>
      </c>
    </row>
    <row r="21" spans="1:9" ht="12.75">
      <c r="A21">
        <v>14</v>
      </c>
      <c r="B21" t="s">
        <v>2797</v>
      </c>
      <c r="C21" t="s">
        <v>3576</v>
      </c>
      <c r="D21" t="s">
        <v>2780</v>
      </c>
      <c r="E21" t="s">
        <v>2823</v>
      </c>
      <c r="F21" t="str">
        <f>"5/33"</f>
        <v>5/33</v>
      </c>
      <c r="G21" t="s">
        <v>76</v>
      </c>
      <c r="H21" t="s">
        <v>1238</v>
      </c>
      <c r="I21">
        <v>34.43</v>
      </c>
    </row>
    <row r="22" spans="1:9" ht="12.75">
      <c r="A22">
        <v>15</v>
      </c>
      <c r="B22" t="s">
        <v>5181</v>
      </c>
      <c r="C22" t="s">
        <v>1239</v>
      </c>
      <c r="D22" t="s">
        <v>2780</v>
      </c>
      <c r="E22" t="s">
        <v>2781</v>
      </c>
      <c r="F22" t="str">
        <f>"5/28"</f>
        <v>5/28</v>
      </c>
      <c r="G22" t="s">
        <v>1240</v>
      </c>
      <c r="H22" t="s">
        <v>1241</v>
      </c>
      <c r="I22">
        <v>33.94</v>
      </c>
    </row>
    <row r="23" spans="1:9" ht="12.75">
      <c r="A23">
        <v>16</v>
      </c>
      <c r="B23" t="s">
        <v>1242</v>
      </c>
      <c r="C23" t="s">
        <v>2810</v>
      </c>
      <c r="D23" t="s">
        <v>2780</v>
      </c>
      <c r="E23" t="s">
        <v>2781</v>
      </c>
      <c r="F23" t="str">
        <f>"6/28"</f>
        <v>6/28</v>
      </c>
      <c r="G23" t="s">
        <v>1243</v>
      </c>
      <c r="H23" t="s">
        <v>1244</v>
      </c>
      <c r="I23">
        <v>33.59</v>
      </c>
    </row>
    <row r="24" spans="1:9" ht="12.75">
      <c r="A24">
        <v>17</v>
      </c>
      <c r="B24" t="s">
        <v>2766</v>
      </c>
      <c r="C24" t="s">
        <v>2836</v>
      </c>
      <c r="D24" t="s">
        <v>2780</v>
      </c>
      <c r="E24" t="s">
        <v>2823</v>
      </c>
      <c r="F24" t="str">
        <f>"6/33"</f>
        <v>6/33</v>
      </c>
      <c r="G24" t="s">
        <v>350</v>
      </c>
      <c r="H24" t="s">
        <v>1245</v>
      </c>
      <c r="I24">
        <v>33.57</v>
      </c>
    </row>
    <row r="25" spans="1:9" ht="12.75">
      <c r="A25">
        <v>18</v>
      </c>
      <c r="B25" t="s">
        <v>1246</v>
      </c>
      <c r="C25" t="s">
        <v>3017</v>
      </c>
      <c r="D25" t="s">
        <v>2780</v>
      </c>
      <c r="E25" t="s">
        <v>2823</v>
      </c>
      <c r="F25" t="str">
        <f>"7/33"</f>
        <v>7/33</v>
      </c>
      <c r="G25" t="s">
        <v>3277</v>
      </c>
      <c r="H25" t="s">
        <v>1247</v>
      </c>
      <c r="I25">
        <v>33.15</v>
      </c>
    </row>
    <row r="26" spans="1:9" ht="12.75">
      <c r="A26">
        <v>19</v>
      </c>
      <c r="B26" t="s">
        <v>1248</v>
      </c>
      <c r="C26" t="s">
        <v>2966</v>
      </c>
      <c r="D26" t="s">
        <v>2780</v>
      </c>
      <c r="E26" t="s">
        <v>2818</v>
      </c>
      <c r="F26" t="str">
        <f>"2/23"</f>
        <v>2/23</v>
      </c>
      <c r="G26" t="s">
        <v>3127</v>
      </c>
      <c r="H26" t="s">
        <v>1249</v>
      </c>
      <c r="I26">
        <v>33.09</v>
      </c>
    </row>
    <row r="27" spans="1:9" ht="12.75">
      <c r="A27">
        <v>20</v>
      </c>
      <c r="B27" t="s">
        <v>7460</v>
      </c>
      <c r="C27" t="s">
        <v>2807</v>
      </c>
      <c r="D27" t="s">
        <v>2780</v>
      </c>
      <c r="E27" t="s">
        <v>2823</v>
      </c>
      <c r="F27" t="str">
        <f>"8/33"</f>
        <v>8/33</v>
      </c>
      <c r="G27" t="s">
        <v>1250</v>
      </c>
      <c r="H27" t="s">
        <v>1251</v>
      </c>
      <c r="I27">
        <v>33.05</v>
      </c>
    </row>
    <row r="28" spans="1:9" ht="12.75">
      <c r="A28">
        <v>21</v>
      </c>
      <c r="B28" t="s">
        <v>1252</v>
      </c>
      <c r="C28" t="s">
        <v>1253</v>
      </c>
      <c r="D28" t="s">
        <v>3031</v>
      </c>
      <c r="E28" t="s">
        <v>3032</v>
      </c>
      <c r="F28" t="str">
        <f>"1/13"</f>
        <v>1/13</v>
      </c>
      <c r="G28" t="s">
        <v>923</v>
      </c>
      <c r="H28" t="s">
        <v>1254</v>
      </c>
      <c r="I28">
        <v>32.93</v>
      </c>
    </row>
    <row r="29" spans="1:9" ht="12.75">
      <c r="A29">
        <v>22</v>
      </c>
      <c r="B29" t="s">
        <v>1255</v>
      </c>
      <c r="C29" t="s">
        <v>1256</v>
      </c>
      <c r="D29" t="s">
        <v>2780</v>
      </c>
      <c r="E29" t="s">
        <v>2781</v>
      </c>
      <c r="F29" t="str">
        <f>"7/28"</f>
        <v>7/28</v>
      </c>
      <c r="G29" t="s">
        <v>49</v>
      </c>
      <c r="H29" t="s">
        <v>1257</v>
      </c>
      <c r="I29">
        <v>32.89</v>
      </c>
    </row>
    <row r="30" spans="1:9" ht="12.75">
      <c r="A30">
        <v>23</v>
      </c>
      <c r="B30" t="s">
        <v>2894</v>
      </c>
      <c r="C30" t="s">
        <v>2963</v>
      </c>
      <c r="D30" t="s">
        <v>2780</v>
      </c>
      <c r="E30" t="s">
        <v>2781</v>
      </c>
      <c r="F30" t="str">
        <f>"8/28"</f>
        <v>8/28</v>
      </c>
      <c r="G30" t="s">
        <v>49</v>
      </c>
      <c r="H30" t="s">
        <v>1258</v>
      </c>
      <c r="I30">
        <v>32.89</v>
      </c>
    </row>
    <row r="31" spans="1:9" ht="12.75">
      <c r="A31">
        <v>24</v>
      </c>
      <c r="B31" t="s">
        <v>1259</v>
      </c>
      <c r="C31" t="s">
        <v>3276</v>
      </c>
      <c r="D31" t="s">
        <v>2780</v>
      </c>
      <c r="E31" t="s">
        <v>2823</v>
      </c>
      <c r="F31" t="str">
        <f>"9/33"</f>
        <v>9/33</v>
      </c>
      <c r="G31" t="s">
        <v>1260</v>
      </c>
      <c r="H31" t="s">
        <v>1261</v>
      </c>
      <c r="I31">
        <v>32.82</v>
      </c>
    </row>
    <row r="32" spans="1:9" ht="12.75">
      <c r="A32">
        <v>25</v>
      </c>
      <c r="B32" t="s">
        <v>1112</v>
      </c>
      <c r="C32" t="s">
        <v>3057</v>
      </c>
      <c r="D32" t="s">
        <v>2780</v>
      </c>
      <c r="E32" t="s">
        <v>2823</v>
      </c>
      <c r="F32" t="str">
        <f>"10/33"</f>
        <v>10/33</v>
      </c>
      <c r="G32" t="s">
        <v>2498</v>
      </c>
      <c r="H32" t="s">
        <v>1262</v>
      </c>
      <c r="I32">
        <v>32.81</v>
      </c>
    </row>
    <row r="33" spans="1:9" ht="12.75">
      <c r="A33">
        <v>26</v>
      </c>
      <c r="B33" t="s">
        <v>1263</v>
      </c>
      <c r="C33" t="s">
        <v>3141</v>
      </c>
      <c r="D33" t="s">
        <v>2780</v>
      </c>
      <c r="E33" t="s">
        <v>2799</v>
      </c>
      <c r="F33" t="str">
        <f>"2/10"</f>
        <v>2/10</v>
      </c>
      <c r="G33" t="s">
        <v>4921</v>
      </c>
      <c r="H33" t="s">
        <v>1264</v>
      </c>
      <c r="I33">
        <v>32.54</v>
      </c>
    </row>
    <row r="34" spans="1:9" ht="12.75">
      <c r="A34">
        <v>27</v>
      </c>
      <c r="B34" t="s">
        <v>1265</v>
      </c>
      <c r="C34" t="s">
        <v>1266</v>
      </c>
      <c r="D34" t="s">
        <v>2780</v>
      </c>
      <c r="E34" t="s">
        <v>2973</v>
      </c>
      <c r="F34" t="str">
        <f>"2/31"</f>
        <v>2/31</v>
      </c>
      <c r="G34" t="s">
        <v>1267</v>
      </c>
      <c r="H34" t="s">
        <v>1268</v>
      </c>
      <c r="I34">
        <v>32.12</v>
      </c>
    </row>
    <row r="35" spans="1:9" ht="12.75">
      <c r="A35">
        <v>28</v>
      </c>
      <c r="B35" t="s">
        <v>1269</v>
      </c>
      <c r="C35" t="s">
        <v>5033</v>
      </c>
      <c r="D35" t="s">
        <v>2780</v>
      </c>
      <c r="E35" t="s">
        <v>2781</v>
      </c>
      <c r="F35" t="str">
        <f>"9/28"</f>
        <v>9/28</v>
      </c>
      <c r="G35" t="s">
        <v>5425</v>
      </c>
      <c r="H35" t="s">
        <v>1270</v>
      </c>
      <c r="I35">
        <v>32.04</v>
      </c>
    </row>
    <row r="36" spans="1:9" ht="12.75">
      <c r="A36">
        <v>29</v>
      </c>
      <c r="B36" t="s">
        <v>1271</v>
      </c>
      <c r="C36" t="s">
        <v>2807</v>
      </c>
      <c r="D36" t="s">
        <v>2780</v>
      </c>
      <c r="E36" t="s">
        <v>2823</v>
      </c>
      <c r="F36" t="str">
        <f>"11/33"</f>
        <v>11/33</v>
      </c>
      <c r="G36" t="s">
        <v>1272</v>
      </c>
      <c r="H36" t="s">
        <v>1273</v>
      </c>
      <c r="I36">
        <v>32.01</v>
      </c>
    </row>
    <row r="37" spans="1:9" ht="12.75">
      <c r="A37">
        <v>30</v>
      </c>
      <c r="B37" t="s">
        <v>1274</v>
      </c>
      <c r="C37" t="s">
        <v>3141</v>
      </c>
      <c r="D37" t="s">
        <v>2780</v>
      </c>
      <c r="E37" t="s">
        <v>2799</v>
      </c>
      <c r="F37" t="str">
        <f>"3/10"</f>
        <v>3/10</v>
      </c>
      <c r="G37" t="s">
        <v>446</v>
      </c>
      <c r="H37" t="s">
        <v>1275</v>
      </c>
      <c r="I37">
        <v>31.88</v>
      </c>
    </row>
    <row r="38" spans="1:9" ht="12.75">
      <c r="A38">
        <v>31</v>
      </c>
      <c r="B38" t="s">
        <v>5303</v>
      </c>
      <c r="C38" t="s">
        <v>5490</v>
      </c>
      <c r="D38" t="s">
        <v>3031</v>
      </c>
      <c r="E38" t="s">
        <v>3032</v>
      </c>
      <c r="F38" t="str">
        <f>"2/13"</f>
        <v>2/13</v>
      </c>
      <c r="G38" t="s">
        <v>2693</v>
      </c>
      <c r="H38" t="s">
        <v>1276</v>
      </c>
      <c r="I38">
        <v>31.85</v>
      </c>
    </row>
    <row r="39" spans="1:9" ht="12.75">
      <c r="A39">
        <v>32</v>
      </c>
      <c r="B39" t="s">
        <v>1277</v>
      </c>
      <c r="C39" t="s">
        <v>2942</v>
      </c>
      <c r="D39" t="s">
        <v>2780</v>
      </c>
      <c r="E39" t="s">
        <v>2781</v>
      </c>
      <c r="F39" t="str">
        <f>"10/28"</f>
        <v>10/28</v>
      </c>
      <c r="G39" t="s">
        <v>3327</v>
      </c>
      <c r="H39" t="s">
        <v>1278</v>
      </c>
      <c r="I39">
        <v>31.77</v>
      </c>
    </row>
    <row r="40" spans="1:9" ht="12.75">
      <c r="A40">
        <v>33</v>
      </c>
      <c r="B40" t="s">
        <v>5194</v>
      </c>
      <c r="C40" t="s">
        <v>580</v>
      </c>
      <c r="D40" t="s">
        <v>2780</v>
      </c>
      <c r="E40" t="s">
        <v>2823</v>
      </c>
      <c r="F40" t="str">
        <f>"12/33"</f>
        <v>12/33</v>
      </c>
      <c r="G40" t="s">
        <v>2819</v>
      </c>
      <c r="H40" t="s">
        <v>1279</v>
      </c>
      <c r="I40">
        <v>31.58</v>
      </c>
    </row>
    <row r="41" spans="1:9" ht="12.75">
      <c r="A41">
        <v>34</v>
      </c>
      <c r="B41" t="s">
        <v>7676</v>
      </c>
      <c r="C41" t="s">
        <v>2861</v>
      </c>
      <c r="D41" t="s">
        <v>2780</v>
      </c>
      <c r="E41" t="s">
        <v>2781</v>
      </c>
      <c r="F41" t="str">
        <f>"12/28"</f>
        <v>12/28</v>
      </c>
      <c r="G41" t="s">
        <v>2262</v>
      </c>
      <c r="H41" t="s">
        <v>1280</v>
      </c>
      <c r="I41">
        <v>31.5</v>
      </c>
    </row>
    <row r="42" spans="1:9" ht="12.75">
      <c r="A42">
        <v>35</v>
      </c>
      <c r="B42" t="s">
        <v>5850</v>
      </c>
      <c r="C42" t="s">
        <v>3665</v>
      </c>
      <c r="D42" t="s">
        <v>2780</v>
      </c>
      <c r="E42" t="s">
        <v>2781</v>
      </c>
      <c r="F42" t="str">
        <f>"11/28"</f>
        <v>11/28</v>
      </c>
      <c r="G42" t="s">
        <v>1281</v>
      </c>
      <c r="H42" t="s">
        <v>1280</v>
      </c>
      <c r="I42">
        <v>31.5</v>
      </c>
    </row>
    <row r="43" spans="1:9" ht="12.75">
      <c r="A43">
        <v>36</v>
      </c>
      <c r="B43" t="s">
        <v>4942</v>
      </c>
      <c r="C43" t="s">
        <v>1282</v>
      </c>
      <c r="D43" t="s">
        <v>2780</v>
      </c>
      <c r="E43" t="s">
        <v>2781</v>
      </c>
      <c r="F43" t="str">
        <f>"13/28"</f>
        <v>13/28</v>
      </c>
      <c r="G43" t="s">
        <v>3327</v>
      </c>
      <c r="H43" t="s">
        <v>1283</v>
      </c>
      <c r="I43">
        <v>31.46</v>
      </c>
    </row>
    <row r="44" spans="1:9" ht="12.75">
      <c r="A44">
        <v>37</v>
      </c>
      <c r="B44" t="s">
        <v>1284</v>
      </c>
      <c r="C44" t="s">
        <v>2991</v>
      </c>
      <c r="D44" t="s">
        <v>2780</v>
      </c>
      <c r="E44" t="s">
        <v>2781</v>
      </c>
      <c r="F44" t="str">
        <f>"14/28"</f>
        <v>14/28</v>
      </c>
      <c r="G44" t="s">
        <v>5568</v>
      </c>
      <c r="H44" t="s">
        <v>1285</v>
      </c>
      <c r="I44">
        <v>31.24</v>
      </c>
    </row>
    <row r="45" spans="1:9" ht="12.75">
      <c r="A45">
        <v>38</v>
      </c>
      <c r="B45" t="s">
        <v>1286</v>
      </c>
      <c r="C45" t="s">
        <v>3114</v>
      </c>
      <c r="D45" t="s">
        <v>2780</v>
      </c>
      <c r="E45" t="s">
        <v>2923</v>
      </c>
      <c r="F45" t="str">
        <f>"1/3"</f>
        <v>1/3</v>
      </c>
      <c r="G45" t="s">
        <v>369</v>
      </c>
      <c r="H45" t="s">
        <v>1287</v>
      </c>
      <c r="I45">
        <v>31.17</v>
      </c>
    </row>
    <row r="46" spans="1:9" ht="12.75">
      <c r="A46">
        <v>39</v>
      </c>
      <c r="B46" t="s">
        <v>3403</v>
      </c>
      <c r="C46" t="s">
        <v>3625</v>
      </c>
      <c r="D46" t="s">
        <v>2780</v>
      </c>
      <c r="E46" t="s">
        <v>2799</v>
      </c>
      <c r="F46" t="str">
        <f>"4/10"</f>
        <v>4/10</v>
      </c>
      <c r="G46" t="s">
        <v>5027</v>
      </c>
      <c r="H46" t="s">
        <v>1288</v>
      </c>
      <c r="I46">
        <v>31.09</v>
      </c>
    </row>
    <row r="47" spans="1:9" ht="12.75">
      <c r="A47">
        <v>40</v>
      </c>
      <c r="B47" t="s">
        <v>1289</v>
      </c>
      <c r="C47" t="s">
        <v>3810</v>
      </c>
      <c r="D47" t="s">
        <v>2780</v>
      </c>
      <c r="E47" t="s">
        <v>2781</v>
      </c>
      <c r="F47" t="str">
        <f>"15/28"</f>
        <v>15/28</v>
      </c>
      <c r="G47" t="s">
        <v>5027</v>
      </c>
      <c r="H47" t="s">
        <v>1290</v>
      </c>
      <c r="I47">
        <v>31.08</v>
      </c>
    </row>
    <row r="48" spans="1:9" ht="12.75">
      <c r="A48">
        <v>41</v>
      </c>
      <c r="B48" t="s">
        <v>1291</v>
      </c>
      <c r="C48" t="s">
        <v>3164</v>
      </c>
      <c r="D48" t="s">
        <v>2780</v>
      </c>
      <c r="E48" t="s">
        <v>2818</v>
      </c>
      <c r="F48" t="str">
        <f>"3/23"</f>
        <v>3/23</v>
      </c>
      <c r="G48" t="s">
        <v>59</v>
      </c>
      <c r="H48" t="s">
        <v>1292</v>
      </c>
      <c r="I48">
        <v>30.76</v>
      </c>
    </row>
    <row r="49" spans="1:9" ht="12.75">
      <c r="A49">
        <v>42</v>
      </c>
      <c r="B49" t="s">
        <v>1293</v>
      </c>
      <c r="C49" t="s">
        <v>2857</v>
      </c>
      <c r="D49" t="s">
        <v>2780</v>
      </c>
      <c r="E49" t="s">
        <v>2818</v>
      </c>
      <c r="F49" t="str">
        <f>"4/23"</f>
        <v>4/23</v>
      </c>
      <c r="G49" t="s">
        <v>76</v>
      </c>
      <c r="H49" t="s">
        <v>1294</v>
      </c>
      <c r="I49">
        <v>30.71</v>
      </c>
    </row>
    <row r="50" spans="1:9" ht="12.75">
      <c r="A50">
        <v>43</v>
      </c>
      <c r="B50" t="s">
        <v>1295</v>
      </c>
      <c r="C50" t="s">
        <v>1296</v>
      </c>
      <c r="D50" t="s">
        <v>2780</v>
      </c>
      <c r="E50" t="s">
        <v>2818</v>
      </c>
      <c r="F50" t="str">
        <f>"5/23"</f>
        <v>5/23</v>
      </c>
      <c r="G50" t="s">
        <v>2107</v>
      </c>
      <c r="H50" t="s">
        <v>1297</v>
      </c>
      <c r="I50">
        <v>30.7</v>
      </c>
    </row>
    <row r="51" spans="1:9" ht="12.75">
      <c r="A51">
        <v>44</v>
      </c>
      <c r="B51" t="s">
        <v>1274</v>
      </c>
      <c r="C51" t="s">
        <v>3633</v>
      </c>
      <c r="D51" t="s">
        <v>2780</v>
      </c>
      <c r="E51" t="s">
        <v>2973</v>
      </c>
      <c r="F51" t="str">
        <f>"3/31"</f>
        <v>3/31</v>
      </c>
      <c r="G51" t="s">
        <v>446</v>
      </c>
      <c r="H51" t="s">
        <v>1298</v>
      </c>
      <c r="I51">
        <v>30.57</v>
      </c>
    </row>
    <row r="52" spans="1:9" ht="12.75">
      <c r="A52">
        <v>45</v>
      </c>
      <c r="B52" t="s">
        <v>5477</v>
      </c>
      <c r="C52" t="s">
        <v>84</v>
      </c>
      <c r="D52" t="s">
        <v>2780</v>
      </c>
      <c r="E52" t="s">
        <v>2973</v>
      </c>
      <c r="F52" t="str">
        <f>"4/31"</f>
        <v>4/31</v>
      </c>
      <c r="G52" t="s">
        <v>3134</v>
      </c>
      <c r="H52" t="s">
        <v>1299</v>
      </c>
      <c r="I52">
        <v>30.4</v>
      </c>
    </row>
    <row r="53" spans="1:9" ht="12.75">
      <c r="A53">
        <v>46</v>
      </c>
      <c r="B53" t="s">
        <v>1300</v>
      </c>
      <c r="C53" t="s">
        <v>3923</v>
      </c>
      <c r="D53" t="s">
        <v>2780</v>
      </c>
      <c r="E53" t="s">
        <v>2818</v>
      </c>
      <c r="F53" t="str">
        <f>"6/23"</f>
        <v>6/23</v>
      </c>
      <c r="G53" t="s">
        <v>3327</v>
      </c>
      <c r="H53" t="s">
        <v>1301</v>
      </c>
      <c r="I53">
        <v>30.35</v>
      </c>
    </row>
    <row r="54" spans="1:9" ht="12.75">
      <c r="A54">
        <v>47</v>
      </c>
      <c r="B54" t="s">
        <v>1302</v>
      </c>
      <c r="C54" t="s">
        <v>2506</v>
      </c>
      <c r="D54" t="s">
        <v>3031</v>
      </c>
      <c r="E54" t="s">
        <v>3032</v>
      </c>
      <c r="F54" t="str">
        <f>"3/13"</f>
        <v>3/13</v>
      </c>
      <c r="G54" t="s">
        <v>3706</v>
      </c>
      <c r="H54" t="s">
        <v>1303</v>
      </c>
      <c r="I54">
        <v>30.33</v>
      </c>
    </row>
    <row r="55" spans="1:9" ht="12.75">
      <c r="A55">
        <v>48</v>
      </c>
      <c r="B55" t="s">
        <v>1304</v>
      </c>
      <c r="C55" t="s">
        <v>2981</v>
      </c>
      <c r="D55" t="s">
        <v>2780</v>
      </c>
      <c r="E55" t="s">
        <v>2823</v>
      </c>
      <c r="F55" t="str">
        <f>"13/33"</f>
        <v>13/33</v>
      </c>
      <c r="G55" t="s">
        <v>4966</v>
      </c>
      <c r="H55" t="s">
        <v>1305</v>
      </c>
      <c r="I55">
        <v>30.33</v>
      </c>
    </row>
    <row r="56" spans="1:9" ht="12.75">
      <c r="A56">
        <v>49</v>
      </c>
      <c r="B56" t="s">
        <v>5199</v>
      </c>
      <c r="C56" t="s">
        <v>2861</v>
      </c>
      <c r="D56" t="s">
        <v>2780</v>
      </c>
      <c r="E56" t="s">
        <v>2781</v>
      </c>
      <c r="F56" t="str">
        <f>"16/28"</f>
        <v>16/28</v>
      </c>
      <c r="G56" t="s">
        <v>4966</v>
      </c>
      <c r="H56" t="s">
        <v>1306</v>
      </c>
      <c r="I56">
        <v>30.32</v>
      </c>
    </row>
    <row r="57" spans="1:9" ht="12.75">
      <c r="A57">
        <v>50</v>
      </c>
      <c r="B57" t="s">
        <v>1307</v>
      </c>
      <c r="C57" t="s">
        <v>2840</v>
      </c>
      <c r="D57" t="s">
        <v>2780</v>
      </c>
      <c r="E57" t="s">
        <v>3209</v>
      </c>
      <c r="F57" t="str">
        <f>"1/26"</f>
        <v>1/26</v>
      </c>
      <c r="G57" t="s">
        <v>369</v>
      </c>
      <c r="H57" t="s">
        <v>1308</v>
      </c>
      <c r="I57">
        <v>30.27</v>
      </c>
    </row>
    <row r="58" spans="1:9" ht="12.75">
      <c r="A58">
        <v>51</v>
      </c>
      <c r="B58" t="s">
        <v>1309</v>
      </c>
      <c r="C58" t="s">
        <v>1310</v>
      </c>
      <c r="D58" t="s">
        <v>3031</v>
      </c>
      <c r="E58" t="s">
        <v>3032</v>
      </c>
      <c r="F58" t="str">
        <f>"4/13"</f>
        <v>4/13</v>
      </c>
      <c r="G58" t="s">
        <v>5876</v>
      </c>
      <c r="H58" t="s">
        <v>1311</v>
      </c>
      <c r="I58">
        <v>30.26</v>
      </c>
    </row>
    <row r="59" spans="1:9" ht="12.75">
      <c r="A59">
        <v>52</v>
      </c>
      <c r="B59" t="s">
        <v>5238</v>
      </c>
      <c r="C59" t="s">
        <v>2963</v>
      </c>
      <c r="D59" t="s">
        <v>2780</v>
      </c>
      <c r="E59" t="s">
        <v>2818</v>
      </c>
      <c r="F59" t="str">
        <f>"7/23"</f>
        <v>7/23</v>
      </c>
      <c r="G59" t="s">
        <v>1312</v>
      </c>
      <c r="H59" t="s">
        <v>1313</v>
      </c>
      <c r="I59">
        <v>30.2</v>
      </c>
    </row>
    <row r="60" spans="1:9" ht="12.75">
      <c r="A60">
        <v>53</v>
      </c>
      <c r="B60" t="s">
        <v>3378</v>
      </c>
      <c r="C60" t="s">
        <v>1314</v>
      </c>
      <c r="D60" t="s">
        <v>3031</v>
      </c>
      <c r="E60" t="s">
        <v>3032</v>
      </c>
      <c r="F60" t="str">
        <f>"5/13"</f>
        <v>5/13</v>
      </c>
      <c r="G60" t="s">
        <v>3412</v>
      </c>
      <c r="H60" t="s">
        <v>1315</v>
      </c>
      <c r="I60">
        <v>30.04</v>
      </c>
    </row>
    <row r="61" spans="1:9" ht="12.75">
      <c r="A61">
        <v>54</v>
      </c>
      <c r="B61" t="s">
        <v>2400</v>
      </c>
      <c r="C61" t="s">
        <v>3633</v>
      </c>
      <c r="D61" t="s">
        <v>2780</v>
      </c>
      <c r="E61" t="s">
        <v>2923</v>
      </c>
      <c r="F61" t="str">
        <f>"2/3"</f>
        <v>2/3</v>
      </c>
      <c r="G61" t="s">
        <v>1316</v>
      </c>
      <c r="H61" t="s">
        <v>1317</v>
      </c>
      <c r="I61">
        <v>29.98</v>
      </c>
    </row>
    <row r="62" spans="1:9" ht="12.75">
      <c r="A62">
        <v>55</v>
      </c>
      <c r="B62" t="s">
        <v>6500</v>
      </c>
      <c r="C62" t="s">
        <v>3633</v>
      </c>
      <c r="D62" t="s">
        <v>2780</v>
      </c>
      <c r="E62" t="s">
        <v>2799</v>
      </c>
      <c r="F62" t="str">
        <f>"5/10"</f>
        <v>5/10</v>
      </c>
      <c r="G62" t="s">
        <v>1318</v>
      </c>
      <c r="H62" t="s">
        <v>1319</v>
      </c>
      <c r="I62">
        <v>29.85</v>
      </c>
    </row>
    <row r="63" spans="1:9" ht="12.75">
      <c r="A63">
        <v>56</v>
      </c>
      <c r="B63" t="s">
        <v>1320</v>
      </c>
      <c r="C63" t="s">
        <v>1321</v>
      </c>
      <c r="D63" t="s">
        <v>3031</v>
      </c>
      <c r="E63" t="s">
        <v>3032</v>
      </c>
      <c r="F63" t="str">
        <f>"6/13"</f>
        <v>6/13</v>
      </c>
      <c r="G63" t="s">
        <v>1318</v>
      </c>
      <c r="H63" t="s">
        <v>1322</v>
      </c>
      <c r="I63">
        <v>29.85</v>
      </c>
    </row>
    <row r="64" spans="1:9" ht="12.75">
      <c r="A64">
        <v>57</v>
      </c>
      <c r="B64" t="s">
        <v>4999</v>
      </c>
      <c r="C64" t="s">
        <v>2991</v>
      </c>
      <c r="D64" t="s">
        <v>2780</v>
      </c>
      <c r="E64" t="s">
        <v>2818</v>
      </c>
      <c r="F64" t="str">
        <f>"8/23"</f>
        <v>8/23</v>
      </c>
      <c r="G64" t="s">
        <v>1323</v>
      </c>
      <c r="H64" t="s">
        <v>1324</v>
      </c>
      <c r="I64">
        <v>29.84</v>
      </c>
    </row>
    <row r="65" spans="1:9" ht="12.75">
      <c r="A65">
        <v>58</v>
      </c>
      <c r="B65" t="s">
        <v>1325</v>
      </c>
      <c r="C65" t="s">
        <v>2807</v>
      </c>
      <c r="D65" t="s">
        <v>2780</v>
      </c>
      <c r="E65" t="s">
        <v>2799</v>
      </c>
      <c r="F65" t="str">
        <f>"6/10"</f>
        <v>6/10</v>
      </c>
      <c r="G65" t="s">
        <v>1326</v>
      </c>
      <c r="H65" t="s">
        <v>1327</v>
      </c>
      <c r="I65">
        <v>29.82</v>
      </c>
    </row>
    <row r="66" spans="1:9" ht="12.75">
      <c r="A66">
        <v>59</v>
      </c>
      <c r="B66" t="s">
        <v>1328</v>
      </c>
      <c r="C66" t="s">
        <v>1329</v>
      </c>
      <c r="D66" t="s">
        <v>3031</v>
      </c>
      <c r="E66" t="s">
        <v>3032</v>
      </c>
      <c r="F66" t="str">
        <f>"7/13"</f>
        <v>7/13</v>
      </c>
      <c r="G66" t="s">
        <v>693</v>
      </c>
      <c r="H66" t="s">
        <v>1330</v>
      </c>
      <c r="I66">
        <v>29.79</v>
      </c>
    </row>
    <row r="67" spans="1:9" ht="12.75">
      <c r="A67">
        <v>60</v>
      </c>
      <c r="B67" t="s">
        <v>3900</v>
      </c>
      <c r="C67" t="s">
        <v>2836</v>
      </c>
      <c r="D67" t="s">
        <v>2780</v>
      </c>
      <c r="E67" t="s">
        <v>2799</v>
      </c>
      <c r="F67" t="str">
        <f>"7/10"</f>
        <v>7/10</v>
      </c>
      <c r="G67" t="s">
        <v>4891</v>
      </c>
      <c r="H67" t="s">
        <v>1331</v>
      </c>
      <c r="I67">
        <v>29.77</v>
      </c>
    </row>
    <row r="68" spans="1:9" ht="12.75">
      <c r="A68">
        <v>61</v>
      </c>
      <c r="B68" t="s">
        <v>3136</v>
      </c>
      <c r="C68" t="s">
        <v>2807</v>
      </c>
      <c r="D68" t="s">
        <v>2780</v>
      </c>
      <c r="E68" t="s">
        <v>2781</v>
      </c>
      <c r="F68" t="str">
        <f>"17/28"</f>
        <v>17/28</v>
      </c>
      <c r="G68" t="s">
        <v>1045</v>
      </c>
      <c r="H68" t="s">
        <v>1332</v>
      </c>
      <c r="I68">
        <v>29.73</v>
      </c>
    </row>
    <row r="69" spans="1:9" ht="12.75">
      <c r="A69">
        <v>62</v>
      </c>
      <c r="B69" t="s">
        <v>2365</v>
      </c>
      <c r="C69" t="s">
        <v>2868</v>
      </c>
      <c r="D69" t="s">
        <v>2780</v>
      </c>
      <c r="E69" t="s">
        <v>2818</v>
      </c>
      <c r="F69" t="str">
        <f>"9/23"</f>
        <v>9/23</v>
      </c>
      <c r="G69" t="s">
        <v>1333</v>
      </c>
      <c r="H69" t="s">
        <v>1334</v>
      </c>
      <c r="I69">
        <v>29.73</v>
      </c>
    </row>
    <row r="70" spans="1:9" ht="12.75">
      <c r="A70">
        <v>63</v>
      </c>
      <c r="B70" t="s">
        <v>3651</v>
      </c>
      <c r="C70" t="s">
        <v>2966</v>
      </c>
      <c r="D70" t="s">
        <v>2780</v>
      </c>
      <c r="E70" t="s">
        <v>2823</v>
      </c>
      <c r="F70" t="str">
        <f>"14/33"</f>
        <v>14/33</v>
      </c>
      <c r="G70" t="s">
        <v>3934</v>
      </c>
      <c r="H70" t="s">
        <v>1335</v>
      </c>
      <c r="I70">
        <v>29.72</v>
      </c>
    </row>
    <row r="71" spans="1:9" ht="12.75">
      <c r="A71">
        <v>64</v>
      </c>
      <c r="B71" t="s">
        <v>1336</v>
      </c>
      <c r="C71" t="s">
        <v>3286</v>
      </c>
      <c r="D71" t="s">
        <v>2780</v>
      </c>
      <c r="E71" t="s">
        <v>2973</v>
      </c>
      <c r="F71" t="str">
        <f>"5/31"</f>
        <v>5/31</v>
      </c>
      <c r="G71" t="s">
        <v>1337</v>
      </c>
      <c r="H71" t="s">
        <v>1338</v>
      </c>
      <c r="I71">
        <v>29.71</v>
      </c>
    </row>
    <row r="72" spans="1:9" ht="12.75">
      <c r="A72">
        <v>65</v>
      </c>
      <c r="B72" t="s">
        <v>5538</v>
      </c>
      <c r="C72" t="s">
        <v>1339</v>
      </c>
      <c r="D72" t="s">
        <v>2780</v>
      </c>
      <c r="E72" t="s">
        <v>3209</v>
      </c>
      <c r="F72" t="str">
        <f>"2/26"</f>
        <v>2/26</v>
      </c>
      <c r="G72" t="s">
        <v>1340</v>
      </c>
      <c r="H72" t="s">
        <v>1341</v>
      </c>
      <c r="I72">
        <v>29.69</v>
      </c>
    </row>
    <row r="73" spans="1:9" ht="12.75">
      <c r="A73">
        <v>66</v>
      </c>
      <c r="B73" t="s">
        <v>5865</v>
      </c>
      <c r="C73" t="s">
        <v>5387</v>
      </c>
      <c r="D73" t="s">
        <v>2780</v>
      </c>
      <c r="E73" t="s">
        <v>2823</v>
      </c>
      <c r="F73" t="str">
        <f>"15/33"</f>
        <v>15/33</v>
      </c>
      <c r="G73" t="s">
        <v>1045</v>
      </c>
      <c r="H73" t="s">
        <v>1342</v>
      </c>
      <c r="I73">
        <v>29.68</v>
      </c>
    </row>
    <row r="74" spans="1:9" ht="12.75">
      <c r="A74">
        <v>67</v>
      </c>
      <c r="B74" t="s">
        <v>1343</v>
      </c>
      <c r="C74" t="s">
        <v>2807</v>
      </c>
      <c r="D74" t="s">
        <v>2780</v>
      </c>
      <c r="E74" t="s">
        <v>2781</v>
      </c>
      <c r="F74" t="str">
        <f>"18/28"</f>
        <v>18/28</v>
      </c>
      <c r="G74" t="s">
        <v>1045</v>
      </c>
      <c r="H74" t="s">
        <v>1344</v>
      </c>
      <c r="I74">
        <v>29.66</v>
      </c>
    </row>
    <row r="75" spans="1:9" ht="12.75">
      <c r="A75">
        <v>68</v>
      </c>
      <c r="B75" t="s">
        <v>1345</v>
      </c>
      <c r="C75" t="s">
        <v>2807</v>
      </c>
      <c r="D75" t="s">
        <v>2780</v>
      </c>
      <c r="E75" t="s">
        <v>2781</v>
      </c>
      <c r="F75" t="str">
        <f>"19/28"</f>
        <v>19/28</v>
      </c>
      <c r="G75" t="s">
        <v>76</v>
      </c>
      <c r="H75" t="s">
        <v>1346</v>
      </c>
      <c r="I75">
        <v>29.62</v>
      </c>
    </row>
    <row r="76" spans="1:9" ht="12.75">
      <c r="A76">
        <v>69</v>
      </c>
      <c r="B76" t="s">
        <v>1347</v>
      </c>
      <c r="C76" t="s">
        <v>335</v>
      </c>
      <c r="D76" t="s">
        <v>2780</v>
      </c>
      <c r="E76" t="s">
        <v>2973</v>
      </c>
      <c r="F76" t="str">
        <f>"6/31"</f>
        <v>6/31</v>
      </c>
      <c r="G76" t="s">
        <v>697</v>
      </c>
      <c r="H76" t="s">
        <v>1348</v>
      </c>
      <c r="I76">
        <v>29.55</v>
      </c>
    </row>
    <row r="77" spans="1:9" ht="12.75">
      <c r="A77">
        <v>70</v>
      </c>
      <c r="B77" t="s">
        <v>1349</v>
      </c>
      <c r="C77" t="s">
        <v>2865</v>
      </c>
      <c r="D77" t="s">
        <v>2780</v>
      </c>
      <c r="E77" t="s">
        <v>2818</v>
      </c>
      <c r="F77" t="str">
        <f>"10/23"</f>
        <v>10/23</v>
      </c>
      <c r="G77" t="s">
        <v>1684</v>
      </c>
      <c r="H77" t="s">
        <v>1350</v>
      </c>
      <c r="I77">
        <v>29.51</v>
      </c>
    </row>
    <row r="78" spans="1:9" ht="12.75">
      <c r="A78">
        <v>71</v>
      </c>
      <c r="B78" t="s">
        <v>1351</v>
      </c>
      <c r="C78" t="s">
        <v>1352</v>
      </c>
      <c r="D78" t="s">
        <v>2780</v>
      </c>
      <c r="E78" t="s">
        <v>2973</v>
      </c>
      <c r="F78" t="str">
        <f>"7/31"</f>
        <v>7/31</v>
      </c>
      <c r="G78" t="s">
        <v>1684</v>
      </c>
      <c r="H78" t="s">
        <v>1353</v>
      </c>
      <c r="I78">
        <v>29.51</v>
      </c>
    </row>
    <row r="79" spans="1:9" ht="12.75">
      <c r="A79">
        <v>72</v>
      </c>
      <c r="B79" t="s">
        <v>1354</v>
      </c>
      <c r="C79" t="s">
        <v>84</v>
      </c>
      <c r="D79" t="s">
        <v>2780</v>
      </c>
      <c r="E79" t="s">
        <v>3209</v>
      </c>
      <c r="F79" t="str">
        <f>"3/26"</f>
        <v>3/26</v>
      </c>
      <c r="G79" t="s">
        <v>1355</v>
      </c>
      <c r="H79" t="s">
        <v>1356</v>
      </c>
      <c r="I79">
        <v>29.47</v>
      </c>
    </row>
    <row r="80" spans="1:9" ht="12.75">
      <c r="A80">
        <v>73</v>
      </c>
      <c r="B80" t="s">
        <v>3311</v>
      </c>
      <c r="C80" t="s">
        <v>2861</v>
      </c>
      <c r="D80" t="s">
        <v>2780</v>
      </c>
      <c r="E80" t="s">
        <v>2781</v>
      </c>
      <c r="F80" t="str">
        <f>"20/28"</f>
        <v>20/28</v>
      </c>
      <c r="G80" t="s">
        <v>1281</v>
      </c>
      <c r="H80" t="s">
        <v>1357</v>
      </c>
      <c r="I80">
        <v>29.23</v>
      </c>
    </row>
    <row r="81" spans="1:9" ht="12.75">
      <c r="A81">
        <v>74</v>
      </c>
      <c r="B81" t="s">
        <v>7400</v>
      </c>
      <c r="C81" t="s">
        <v>3455</v>
      </c>
      <c r="D81" t="s">
        <v>3031</v>
      </c>
      <c r="E81" t="s">
        <v>3032</v>
      </c>
      <c r="F81" t="str">
        <f>"8/13"</f>
        <v>8/13</v>
      </c>
      <c r="G81" t="s">
        <v>2804</v>
      </c>
      <c r="H81" t="s">
        <v>1358</v>
      </c>
      <c r="I81">
        <v>29.14</v>
      </c>
    </row>
    <row r="82" spans="1:9" ht="12.75">
      <c r="A82">
        <v>75</v>
      </c>
      <c r="B82" t="s">
        <v>1060</v>
      </c>
      <c r="C82" t="s">
        <v>256</v>
      </c>
      <c r="D82" t="s">
        <v>2780</v>
      </c>
      <c r="E82" t="s">
        <v>2973</v>
      </c>
      <c r="F82" t="str">
        <f>"8/31"</f>
        <v>8/31</v>
      </c>
      <c r="G82" t="s">
        <v>1359</v>
      </c>
      <c r="H82" t="s">
        <v>1360</v>
      </c>
      <c r="I82">
        <v>29.11</v>
      </c>
    </row>
    <row r="83" spans="1:9" ht="12.75">
      <c r="A83">
        <v>76</v>
      </c>
      <c r="B83" t="s">
        <v>1361</v>
      </c>
      <c r="C83" t="s">
        <v>401</v>
      </c>
      <c r="D83" t="s">
        <v>2780</v>
      </c>
      <c r="E83" t="s">
        <v>2973</v>
      </c>
      <c r="F83" t="str">
        <f>"9/31"</f>
        <v>9/31</v>
      </c>
      <c r="G83" t="s">
        <v>1359</v>
      </c>
      <c r="H83" t="s">
        <v>1362</v>
      </c>
      <c r="I83">
        <v>29.09</v>
      </c>
    </row>
    <row r="84" spans="1:9" ht="12.75">
      <c r="A84">
        <v>77</v>
      </c>
      <c r="B84" t="s">
        <v>1363</v>
      </c>
      <c r="C84" t="s">
        <v>2861</v>
      </c>
      <c r="D84" t="s">
        <v>2780</v>
      </c>
      <c r="E84" t="s">
        <v>2799</v>
      </c>
      <c r="F84" t="str">
        <f>"8/10"</f>
        <v>8/10</v>
      </c>
      <c r="G84" t="s">
        <v>3202</v>
      </c>
      <c r="H84" t="s">
        <v>1364</v>
      </c>
      <c r="I84">
        <v>28.97</v>
      </c>
    </row>
    <row r="85" spans="1:9" ht="12.75">
      <c r="A85">
        <v>78</v>
      </c>
      <c r="B85" t="s">
        <v>1365</v>
      </c>
      <c r="C85" t="s">
        <v>2942</v>
      </c>
      <c r="D85" t="s">
        <v>2780</v>
      </c>
      <c r="E85" t="s">
        <v>2973</v>
      </c>
      <c r="F85" t="str">
        <f>"10/31"</f>
        <v>10/31</v>
      </c>
      <c r="G85" t="s">
        <v>5200</v>
      </c>
      <c r="H85" t="s">
        <v>1366</v>
      </c>
      <c r="I85">
        <v>28.95</v>
      </c>
    </row>
    <row r="86" spans="1:9" ht="12.75">
      <c r="A86">
        <v>79</v>
      </c>
      <c r="B86" t="s">
        <v>1367</v>
      </c>
      <c r="C86" t="s">
        <v>231</v>
      </c>
      <c r="D86" t="s">
        <v>2780</v>
      </c>
      <c r="E86" t="s">
        <v>2781</v>
      </c>
      <c r="F86" t="str">
        <f>"21/28"</f>
        <v>21/28</v>
      </c>
      <c r="G86" t="s">
        <v>392</v>
      </c>
      <c r="H86" t="s">
        <v>1368</v>
      </c>
      <c r="I86">
        <v>28.91</v>
      </c>
    </row>
    <row r="87" spans="1:9" ht="12.75">
      <c r="A87">
        <v>80</v>
      </c>
      <c r="B87" t="s">
        <v>1369</v>
      </c>
      <c r="C87" t="s">
        <v>2868</v>
      </c>
      <c r="D87" t="s">
        <v>2780</v>
      </c>
      <c r="E87" t="s">
        <v>2818</v>
      </c>
      <c r="F87" t="str">
        <f>"11/23"</f>
        <v>11/23</v>
      </c>
      <c r="G87" t="s">
        <v>3327</v>
      </c>
      <c r="H87" t="s">
        <v>1370</v>
      </c>
      <c r="I87">
        <v>28.9</v>
      </c>
    </row>
    <row r="88" spans="1:9" ht="12.75">
      <c r="A88">
        <v>81</v>
      </c>
      <c r="B88" t="s">
        <v>7145</v>
      </c>
      <c r="C88" t="s">
        <v>2963</v>
      </c>
      <c r="D88" t="s">
        <v>2780</v>
      </c>
      <c r="E88" t="s">
        <v>2823</v>
      </c>
      <c r="F88" t="str">
        <f>"16/33"</f>
        <v>16/33</v>
      </c>
      <c r="G88" t="s">
        <v>5532</v>
      </c>
      <c r="H88" t="s">
        <v>1371</v>
      </c>
      <c r="I88">
        <v>28.89</v>
      </c>
    </row>
    <row r="89" spans="1:9" ht="12.75">
      <c r="A89">
        <v>82</v>
      </c>
      <c r="B89" t="s">
        <v>1372</v>
      </c>
      <c r="C89" t="s">
        <v>761</v>
      </c>
      <c r="D89" t="s">
        <v>2780</v>
      </c>
      <c r="E89" t="s">
        <v>3209</v>
      </c>
      <c r="F89" t="str">
        <f>"4/26"</f>
        <v>4/26</v>
      </c>
      <c r="G89" t="s">
        <v>697</v>
      </c>
      <c r="H89" t="s">
        <v>1373</v>
      </c>
      <c r="I89">
        <v>28.84</v>
      </c>
    </row>
    <row r="90" spans="1:9" ht="12.75">
      <c r="A90">
        <v>83</v>
      </c>
      <c r="B90" t="s">
        <v>1374</v>
      </c>
      <c r="C90" t="s">
        <v>3346</v>
      </c>
      <c r="D90" t="s">
        <v>2780</v>
      </c>
      <c r="E90" t="s">
        <v>3209</v>
      </c>
      <c r="F90" t="str">
        <f>"5/26"</f>
        <v>5/26</v>
      </c>
      <c r="G90" t="s">
        <v>693</v>
      </c>
      <c r="H90" t="s">
        <v>1375</v>
      </c>
      <c r="I90">
        <v>28.83</v>
      </c>
    </row>
    <row r="91" spans="1:9" ht="12.75">
      <c r="A91">
        <v>84</v>
      </c>
      <c r="B91" t="s">
        <v>5563</v>
      </c>
      <c r="C91" t="s">
        <v>5211</v>
      </c>
      <c r="D91" t="s">
        <v>2780</v>
      </c>
      <c r="E91" t="s">
        <v>2973</v>
      </c>
      <c r="F91" t="str">
        <f>"11/31"</f>
        <v>11/31</v>
      </c>
      <c r="G91" t="s">
        <v>1376</v>
      </c>
      <c r="H91" t="s">
        <v>1377</v>
      </c>
      <c r="I91">
        <v>28.78</v>
      </c>
    </row>
    <row r="92" spans="1:9" ht="12.75">
      <c r="A92">
        <v>85</v>
      </c>
      <c r="B92" t="s">
        <v>1378</v>
      </c>
      <c r="C92" t="s">
        <v>2895</v>
      </c>
      <c r="D92" t="s">
        <v>2780</v>
      </c>
      <c r="E92" t="s">
        <v>2823</v>
      </c>
      <c r="F92" t="str">
        <f>"17/33"</f>
        <v>17/33</v>
      </c>
      <c r="G92" t="s">
        <v>647</v>
      </c>
      <c r="H92" t="s">
        <v>1379</v>
      </c>
      <c r="I92">
        <v>28.65</v>
      </c>
    </row>
    <row r="93" spans="1:9" ht="12.75">
      <c r="A93">
        <v>86</v>
      </c>
      <c r="B93" t="s">
        <v>1380</v>
      </c>
      <c r="C93" t="s">
        <v>5136</v>
      </c>
      <c r="D93" t="s">
        <v>2780</v>
      </c>
      <c r="E93" t="s">
        <v>2818</v>
      </c>
      <c r="F93" t="str">
        <f>"12/23"</f>
        <v>12/23</v>
      </c>
      <c r="G93" t="s">
        <v>960</v>
      </c>
      <c r="H93" t="s">
        <v>1381</v>
      </c>
      <c r="I93">
        <v>28.54</v>
      </c>
    </row>
    <row r="94" spans="1:9" ht="12.75">
      <c r="A94">
        <v>87</v>
      </c>
      <c r="B94" t="s">
        <v>1382</v>
      </c>
      <c r="C94" t="s">
        <v>2906</v>
      </c>
      <c r="D94" t="s">
        <v>2780</v>
      </c>
      <c r="E94" t="s">
        <v>2973</v>
      </c>
      <c r="F94" t="str">
        <f>"12/31"</f>
        <v>12/31</v>
      </c>
      <c r="G94" t="s">
        <v>1125</v>
      </c>
      <c r="H94" t="s">
        <v>1383</v>
      </c>
      <c r="I94">
        <v>28.4</v>
      </c>
    </row>
    <row r="95" spans="1:9" ht="12.75">
      <c r="A95">
        <v>88</v>
      </c>
      <c r="B95" t="s">
        <v>1384</v>
      </c>
      <c r="C95" t="s">
        <v>3932</v>
      </c>
      <c r="D95" t="s">
        <v>3031</v>
      </c>
      <c r="E95" t="s">
        <v>3032</v>
      </c>
      <c r="F95" t="str">
        <f>"9/13"</f>
        <v>9/13</v>
      </c>
      <c r="G95" t="s">
        <v>1385</v>
      </c>
      <c r="H95" t="s">
        <v>1386</v>
      </c>
      <c r="I95">
        <v>28.39</v>
      </c>
    </row>
    <row r="96" spans="1:9" ht="12.75">
      <c r="A96">
        <v>89</v>
      </c>
      <c r="B96" t="s">
        <v>1387</v>
      </c>
      <c r="C96" t="s">
        <v>2861</v>
      </c>
      <c r="D96" t="s">
        <v>2780</v>
      </c>
      <c r="E96" t="s">
        <v>2823</v>
      </c>
      <c r="F96" t="str">
        <f>"18/33"</f>
        <v>18/33</v>
      </c>
      <c r="G96" t="s">
        <v>1385</v>
      </c>
      <c r="H96" t="s">
        <v>1388</v>
      </c>
      <c r="I96">
        <v>28.38</v>
      </c>
    </row>
    <row r="97" spans="1:9" ht="12.75">
      <c r="A97">
        <v>90</v>
      </c>
      <c r="B97" t="s">
        <v>7125</v>
      </c>
      <c r="C97" t="s">
        <v>7199</v>
      </c>
      <c r="D97" t="s">
        <v>2780</v>
      </c>
      <c r="E97" t="s">
        <v>2973</v>
      </c>
      <c r="F97" t="str">
        <f>"13/31"</f>
        <v>13/31</v>
      </c>
      <c r="G97" t="s">
        <v>225</v>
      </c>
      <c r="H97" t="s">
        <v>1389</v>
      </c>
      <c r="I97">
        <v>28.31</v>
      </c>
    </row>
    <row r="98" spans="1:9" ht="12.75">
      <c r="A98">
        <v>91</v>
      </c>
      <c r="B98" t="s">
        <v>1390</v>
      </c>
      <c r="C98" t="s">
        <v>732</v>
      </c>
      <c r="D98" t="s">
        <v>3031</v>
      </c>
      <c r="E98" t="s">
        <v>3032</v>
      </c>
      <c r="F98" t="str">
        <f>"10/13"</f>
        <v>10/13</v>
      </c>
      <c r="G98" t="s">
        <v>2571</v>
      </c>
      <c r="H98" t="s">
        <v>1391</v>
      </c>
      <c r="I98">
        <v>28.26</v>
      </c>
    </row>
    <row r="99" spans="1:9" ht="12.75">
      <c r="A99">
        <v>92</v>
      </c>
      <c r="B99" t="s">
        <v>1392</v>
      </c>
      <c r="C99" t="s">
        <v>2585</v>
      </c>
      <c r="D99" t="s">
        <v>2780</v>
      </c>
      <c r="E99" t="s">
        <v>3209</v>
      </c>
      <c r="F99" t="str">
        <f>"6/26"</f>
        <v>6/26</v>
      </c>
      <c r="G99" t="s">
        <v>697</v>
      </c>
      <c r="H99" t="s">
        <v>1393</v>
      </c>
      <c r="I99">
        <v>28.22</v>
      </c>
    </row>
    <row r="100" spans="1:9" ht="12.75">
      <c r="A100">
        <v>93</v>
      </c>
      <c r="B100" t="s">
        <v>1394</v>
      </c>
      <c r="C100" t="s">
        <v>3464</v>
      </c>
      <c r="D100" t="s">
        <v>2780</v>
      </c>
      <c r="E100" t="s">
        <v>2823</v>
      </c>
      <c r="F100" t="str">
        <f>"19/33"</f>
        <v>19/33</v>
      </c>
      <c r="G100" t="s">
        <v>3528</v>
      </c>
      <c r="H100" t="s">
        <v>1395</v>
      </c>
      <c r="I100">
        <v>28.07</v>
      </c>
    </row>
    <row r="101" spans="1:9" ht="12.75">
      <c r="A101">
        <v>94</v>
      </c>
      <c r="B101" t="s">
        <v>1396</v>
      </c>
      <c r="C101" t="s">
        <v>1397</v>
      </c>
      <c r="D101" t="s">
        <v>2780</v>
      </c>
      <c r="E101" t="s">
        <v>2799</v>
      </c>
      <c r="F101" t="str">
        <f>"9/10"</f>
        <v>9/10</v>
      </c>
      <c r="G101" t="s">
        <v>1398</v>
      </c>
      <c r="H101" t="s">
        <v>1399</v>
      </c>
      <c r="I101">
        <v>27.95</v>
      </c>
    </row>
    <row r="102" spans="1:9" ht="12.75">
      <c r="A102">
        <v>95</v>
      </c>
      <c r="B102" t="s">
        <v>1400</v>
      </c>
      <c r="C102" t="s">
        <v>2861</v>
      </c>
      <c r="D102" t="s">
        <v>2780</v>
      </c>
      <c r="E102" t="s">
        <v>2818</v>
      </c>
      <c r="F102" t="str">
        <f>"13/23"</f>
        <v>13/23</v>
      </c>
      <c r="G102" t="s">
        <v>673</v>
      </c>
      <c r="H102" t="s">
        <v>1401</v>
      </c>
      <c r="I102">
        <v>27.9</v>
      </c>
    </row>
    <row r="103" spans="1:9" ht="12.75">
      <c r="A103">
        <v>96</v>
      </c>
      <c r="B103" t="s">
        <v>1402</v>
      </c>
      <c r="C103" t="s">
        <v>2830</v>
      </c>
      <c r="D103" t="s">
        <v>2780</v>
      </c>
      <c r="E103" t="s">
        <v>2823</v>
      </c>
      <c r="F103" t="str">
        <f>"20/33"</f>
        <v>20/33</v>
      </c>
      <c r="G103" t="s">
        <v>5532</v>
      </c>
      <c r="H103" t="s">
        <v>1403</v>
      </c>
      <c r="I103">
        <v>27.9</v>
      </c>
    </row>
    <row r="104" spans="1:9" ht="12.75">
      <c r="A104">
        <v>97</v>
      </c>
      <c r="B104" t="s">
        <v>3835</v>
      </c>
      <c r="C104" t="s">
        <v>2868</v>
      </c>
      <c r="D104" t="s">
        <v>2780</v>
      </c>
      <c r="E104" t="s">
        <v>2781</v>
      </c>
      <c r="F104" t="str">
        <f>"22/28"</f>
        <v>22/28</v>
      </c>
      <c r="G104" t="s">
        <v>1404</v>
      </c>
      <c r="H104" t="s">
        <v>1405</v>
      </c>
      <c r="I104">
        <v>27.8</v>
      </c>
    </row>
    <row r="105" spans="1:9" ht="12.75">
      <c r="A105">
        <v>98</v>
      </c>
      <c r="B105" t="s">
        <v>1406</v>
      </c>
      <c r="C105" t="s">
        <v>84</v>
      </c>
      <c r="D105" t="s">
        <v>2780</v>
      </c>
      <c r="E105" t="s">
        <v>2818</v>
      </c>
      <c r="F105" t="str">
        <f>"14/23"</f>
        <v>14/23</v>
      </c>
      <c r="G105" t="s">
        <v>2243</v>
      </c>
      <c r="H105" t="s">
        <v>1407</v>
      </c>
      <c r="I105">
        <v>27.79</v>
      </c>
    </row>
    <row r="106" spans="1:9" ht="12.75">
      <c r="A106">
        <v>99</v>
      </c>
      <c r="B106" t="s">
        <v>555</v>
      </c>
      <c r="C106" t="s">
        <v>2942</v>
      </c>
      <c r="D106" t="s">
        <v>2780</v>
      </c>
      <c r="E106" t="s">
        <v>3209</v>
      </c>
      <c r="F106" t="str">
        <f>"7/26"</f>
        <v>7/26</v>
      </c>
      <c r="G106" t="s">
        <v>556</v>
      </c>
      <c r="H106" t="s">
        <v>1408</v>
      </c>
      <c r="I106">
        <v>27.5</v>
      </c>
    </row>
    <row r="107" spans="1:9" ht="12.75">
      <c r="A107">
        <v>100</v>
      </c>
      <c r="B107" t="s">
        <v>1409</v>
      </c>
      <c r="C107" t="s">
        <v>1583</v>
      </c>
      <c r="D107" t="s">
        <v>3031</v>
      </c>
      <c r="E107" t="s">
        <v>3032</v>
      </c>
      <c r="F107" t="str">
        <f>"11/13"</f>
        <v>11/13</v>
      </c>
      <c r="G107" t="s">
        <v>1260</v>
      </c>
      <c r="H107" t="s">
        <v>1410</v>
      </c>
      <c r="I107">
        <v>27.47</v>
      </c>
    </row>
    <row r="108" spans="1:9" ht="12.75">
      <c r="A108">
        <v>101</v>
      </c>
      <c r="B108" t="s">
        <v>7492</v>
      </c>
      <c r="C108" t="s">
        <v>3554</v>
      </c>
      <c r="D108" t="s">
        <v>2780</v>
      </c>
      <c r="E108" t="s">
        <v>2818</v>
      </c>
      <c r="F108" t="str">
        <f>"15/23"</f>
        <v>15/23</v>
      </c>
      <c r="G108" t="s">
        <v>3476</v>
      </c>
      <c r="H108" t="s">
        <v>1411</v>
      </c>
      <c r="I108">
        <v>27.23</v>
      </c>
    </row>
    <row r="109" spans="1:9" ht="12.75">
      <c r="A109">
        <v>102</v>
      </c>
      <c r="B109" t="s">
        <v>1412</v>
      </c>
      <c r="C109" t="s">
        <v>3346</v>
      </c>
      <c r="D109" t="s">
        <v>2780</v>
      </c>
      <c r="E109" t="s">
        <v>3209</v>
      </c>
      <c r="F109" t="str">
        <f>"8/26"</f>
        <v>8/26</v>
      </c>
      <c r="G109" t="s">
        <v>3347</v>
      </c>
      <c r="H109" t="s">
        <v>1413</v>
      </c>
      <c r="I109">
        <v>27.06</v>
      </c>
    </row>
    <row r="110" spans="1:9" ht="12.75">
      <c r="A110">
        <v>103</v>
      </c>
      <c r="B110" t="s">
        <v>1414</v>
      </c>
      <c r="C110" t="s">
        <v>2362</v>
      </c>
      <c r="D110" t="s">
        <v>2780</v>
      </c>
      <c r="E110" t="s">
        <v>2973</v>
      </c>
      <c r="F110" t="str">
        <f>"14/31"</f>
        <v>14/31</v>
      </c>
      <c r="G110" t="s">
        <v>5549</v>
      </c>
      <c r="H110" t="s">
        <v>1415</v>
      </c>
      <c r="I110">
        <v>26.95</v>
      </c>
    </row>
    <row r="111" spans="1:9" ht="12.75">
      <c r="A111">
        <v>104</v>
      </c>
      <c r="B111" t="s">
        <v>1416</v>
      </c>
      <c r="C111" t="s">
        <v>3219</v>
      </c>
      <c r="D111" t="s">
        <v>2780</v>
      </c>
      <c r="E111" t="s">
        <v>2781</v>
      </c>
      <c r="F111" t="str">
        <f>"23/28"</f>
        <v>23/28</v>
      </c>
      <c r="G111" t="s">
        <v>1417</v>
      </c>
      <c r="H111" t="s">
        <v>1418</v>
      </c>
      <c r="I111">
        <v>26.93</v>
      </c>
    </row>
    <row r="112" spans="1:9" ht="12.75">
      <c r="A112">
        <v>105</v>
      </c>
      <c r="B112" t="s">
        <v>1419</v>
      </c>
      <c r="C112" t="s">
        <v>2865</v>
      </c>
      <c r="D112" t="s">
        <v>2780</v>
      </c>
      <c r="E112" t="s">
        <v>2973</v>
      </c>
      <c r="F112" t="str">
        <f>"15/31"</f>
        <v>15/31</v>
      </c>
      <c r="G112" t="s">
        <v>4969</v>
      </c>
      <c r="H112" t="s">
        <v>1420</v>
      </c>
      <c r="I112">
        <v>26.85</v>
      </c>
    </row>
    <row r="113" spans="1:9" ht="12.75">
      <c r="A113">
        <v>106</v>
      </c>
      <c r="B113" t="s">
        <v>1421</v>
      </c>
      <c r="C113" t="s">
        <v>3114</v>
      </c>
      <c r="D113" t="s">
        <v>2780</v>
      </c>
      <c r="E113" t="s">
        <v>3209</v>
      </c>
      <c r="F113" t="str">
        <f>"9/26"</f>
        <v>9/26</v>
      </c>
      <c r="G113" t="s">
        <v>215</v>
      </c>
      <c r="H113" t="s">
        <v>1422</v>
      </c>
      <c r="I113">
        <v>26.84</v>
      </c>
    </row>
    <row r="114" spans="1:9" ht="12.75">
      <c r="A114">
        <v>107</v>
      </c>
      <c r="B114" t="s">
        <v>1423</v>
      </c>
      <c r="C114" t="s">
        <v>17</v>
      </c>
      <c r="D114" t="s">
        <v>2780</v>
      </c>
      <c r="E114" t="s">
        <v>2973</v>
      </c>
      <c r="F114" t="str">
        <f>"16/31"</f>
        <v>16/31</v>
      </c>
      <c r="G114" t="s">
        <v>972</v>
      </c>
      <c r="H114" t="s">
        <v>1424</v>
      </c>
      <c r="I114">
        <v>26.64</v>
      </c>
    </row>
    <row r="115" spans="1:9" ht="12.75">
      <c r="A115">
        <v>108</v>
      </c>
      <c r="B115" t="s">
        <v>1425</v>
      </c>
      <c r="C115" t="s">
        <v>4038</v>
      </c>
      <c r="D115" t="s">
        <v>2780</v>
      </c>
      <c r="E115" t="s">
        <v>2823</v>
      </c>
      <c r="F115" t="str">
        <f>"21/33"</f>
        <v>21/33</v>
      </c>
      <c r="G115" t="s">
        <v>2889</v>
      </c>
      <c r="H115" t="s">
        <v>1426</v>
      </c>
      <c r="I115">
        <v>26.58</v>
      </c>
    </row>
    <row r="116" spans="1:9" ht="12.75">
      <c r="A116">
        <v>109</v>
      </c>
      <c r="B116" t="s">
        <v>1427</v>
      </c>
      <c r="C116" t="s">
        <v>2839</v>
      </c>
      <c r="D116" t="s">
        <v>2780</v>
      </c>
      <c r="E116" t="s">
        <v>2823</v>
      </c>
      <c r="F116" t="str">
        <f>"22/33"</f>
        <v>22/33</v>
      </c>
      <c r="G116" t="s">
        <v>6510</v>
      </c>
      <c r="H116" t="s">
        <v>1428</v>
      </c>
      <c r="I116">
        <v>26.54</v>
      </c>
    </row>
    <row r="117" spans="1:9" ht="12.75">
      <c r="A117">
        <v>110</v>
      </c>
      <c r="B117" t="s">
        <v>1429</v>
      </c>
      <c r="C117" t="s">
        <v>2840</v>
      </c>
      <c r="D117" t="s">
        <v>2780</v>
      </c>
      <c r="E117" t="s">
        <v>2781</v>
      </c>
      <c r="F117" t="str">
        <f>"24/28"</f>
        <v>24/28</v>
      </c>
      <c r="G117" t="s">
        <v>5444</v>
      </c>
      <c r="H117" t="s">
        <v>1430</v>
      </c>
      <c r="I117">
        <v>26.36</v>
      </c>
    </row>
    <row r="118" spans="1:9" ht="12.75">
      <c r="A118">
        <v>111</v>
      </c>
      <c r="B118" t="s">
        <v>3651</v>
      </c>
      <c r="C118" t="s">
        <v>1431</v>
      </c>
      <c r="D118" t="s">
        <v>2780</v>
      </c>
      <c r="E118" t="s">
        <v>2973</v>
      </c>
      <c r="F118" t="str">
        <f>"17/31"</f>
        <v>17/31</v>
      </c>
      <c r="G118" t="s">
        <v>1432</v>
      </c>
      <c r="H118" t="s">
        <v>1433</v>
      </c>
      <c r="I118">
        <v>26.35</v>
      </c>
    </row>
    <row r="119" spans="1:9" ht="12.75">
      <c r="A119">
        <v>112</v>
      </c>
      <c r="B119" t="s">
        <v>530</v>
      </c>
      <c r="C119" t="s">
        <v>2991</v>
      </c>
      <c r="D119" t="s">
        <v>2780</v>
      </c>
      <c r="E119" t="s">
        <v>2799</v>
      </c>
      <c r="F119" t="str">
        <f>"10/10"</f>
        <v>10/10</v>
      </c>
      <c r="G119" t="s">
        <v>3394</v>
      </c>
      <c r="H119" t="s">
        <v>1434</v>
      </c>
      <c r="I119">
        <v>26.3</v>
      </c>
    </row>
    <row r="120" spans="1:9" ht="12.75">
      <c r="A120">
        <v>113</v>
      </c>
      <c r="B120" t="s">
        <v>1435</v>
      </c>
      <c r="C120" t="s">
        <v>2817</v>
      </c>
      <c r="D120" t="s">
        <v>2780</v>
      </c>
      <c r="E120" t="s">
        <v>3209</v>
      </c>
      <c r="F120" t="str">
        <f>"10/26"</f>
        <v>10/26</v>
      </c>
      <c r="G120" t="s">
        <v>1436</v>
      </c>
      <c r="H120" t="s">
        <v>1437</v>
      </c>
      <c r="I120">
        <v>26.27</v>
      </c>
    </row>
    <row r="121" spans="1:9" ht="12.75">
      <c r="A121">
        <v>114</v>
      </c>
      <c r="B121" t="s">
        <v>1772</v>
      </c>
      <c r="C121" t="s">
        <v>3633</v>
      </c>
      <c r="D121" t="s">
        <v>2780</v>
      </c>
      <c r="E121" t="s">
        <v>3209</v>
      </c>
      <c r="F121" t="str">
        <f>"11/26"</f>
        <v>11/26</v>
      </c>
      <c r="G121" t="s">
        <v>1436</v>
      </c>
      <c r="H121" t="s">
        <v>1438</v>
      </c>
      <c r="I121">
        <v>26.27</v>
      </c>
    </row>
    <row r="122" spans="1:9" ht="12.75">
      <c r="A122">
        <v>115</v>
      </c>
      <c r="B122" t="s">
        <v>1439</v>
      </c>
      <c r="C122" t="s">
        <v>5404</v>
      </c>
      <c r="D122" t="s">
        <v>2780</v>
      </c>
      <c r="E122" t="s">
        <v>3209</v>
      </c>
      <c r="F122" t="str">
        <f>"12/26"</f>
        <v>12/26</v>
      </c>
      <c r="G122" t="s">
        <v>1436</v>
      </c>
      <c r="H122" t="s">
        <v>1440</v>
      </c>
      <c r="I122">
        <v>26.27</v>
      </c>
    </row>
    <row r="123" spans="1:9" ht="12.75">
      <c r="A123">
        <v>116</v>
      </c>
      <c r="B123" t="s">
        <v>3105</v>
      </c>
      <c r="C123" t="s">
        <v>1441</v>
      </c>
      <c r="D123" t="s">
        <v>2780</v>
      </c>
      <c r="E123" t="s">
        <v>3209</v>
      </c>
      <c r="F123" t="str">
        <f>"13/26"</f>
        <v>13/26</v>
      </c>
      <c r="G123" t="s">
        <v>1436</v>
      </c>
      <c r="H123" t="s">
        <v>1442</v>
      </c>
      <c r="I123">
        <v>26.26</v>
      </c>
    </row>
    <row r="124" spans="1:9" ht="12.75">
      <c r="A124">
        <v>117</v>
      </c>
      <c r="B124" t="s">
        <v>1443</v>
      </c>
      <c r="C124" t="s">
        <v>2807</v>
      </c>
      <c r="D124" t="s">
        <v>2780</v>
      </c>
      <c r="E124" t="s">
        <v>3209</v>
      </c>
      <c r="F124" t="str">
        <f>"14/26"</f>
        <v>14/26</v>
      </c>
      <c r="G124" t="s">
        <v>1444</v>
      </c>
      <c r="H124" t="s">
        <v>1445</v>
      </c>
      <c r="I124">
        <v>26.26</v>
      </c>
    </row>
    <row r="125" spans="1:9" ht="12.75">
      <c r="A125">
        <v>118</v>
      </c>
      <c r="B125" t="s">
        <v>5199</v>
      </c>
      <c r="C125" t="s">
        <v>5371</v>
      </c>
      <c r="D125" t="s">
        <v>2780</v>
      </c>
      <c r="E125" t="s">
        <v>2973</v>
      </c>
      <c r="F125" t="str">
        <f>"18/31"</f>
        <v>18/31</v>
      </c>
      <c r="G125" t="s">
        <v>1444</v>
      </c>
      <c r="H125" t="s">
        <v>1446</v>
      </c>
      <c r="I125">
        <v>26.26</v>
      </c>
    </row>
    <row r="126" spans="1:9" ht="12.75">
      <c r="A126">
        <v>119</v>
      </c>
      <c r="B126" t="s">
        <v>1772</v>
      </c>
      <c r="C126" t="s">
        <v>3286</v>
      </c>
      <c r="D126" t="s">
        <v>2780</v>
      </c>
      <c r="E126" t="s">
        <v>3209</v>
      </c>
      <c r="F126" t="str">
        <f>"15/26"</f>
        <v>15/26</v>
      </c>
      <c r="G126" t="s">
        <v>1436</v>
      </c>
      <c r="H126" t="s">
        <v>1447</v>
      </c>
      <c r="I126">
        <v>26.26</v>
      </c>
    </row>
    <row r="127" spans="1:9" ht="12.75">
      <c r="A127">
        <v>120</v>
      </c>
      <c r="B127" t="s">
        <v>1448</v>
      </c>
      <c r="C127" t="s">
        <v>43</v>
      </c>
      <c r="D127" t="s">
        <v>2780</v>
      </c>
      <c r="E127" t="s">
        <v>3209</v>
      </c>
      <c r="F127" t="str">
        <f>"16/26"</f>
        <v>16/26</v>
      </c>
      <c r="G127" t="s">
        <v>1436</v>
      </c>
      <c r="H127" t="s">
        <v>1449</v>
      </c>
      <c r="I127">
        <v>26.23</v>
      </c>
    </row>
    <row r="128" spans="1:9" ht="12.75">
      <c r="A128">
        <v>121</v>
      </c>
      <c r="B128" t="s">
        <v>1450</v>
      </c>
      <c r="C128" t="s">
        <v>2942</v>
      </c>
      <c r="D128" t="s">
        <v>2780</v>
      </c>
      <c r="E128" t="s">
        <v>3209</v>
      </c>
      <c r="F128" t="str">
        <f>"17/26"</f>
        <v>17/26</v>
      </c>
      <c r="G128" t="s">
        <v>1436</v>
      </c>
      <c r="H128" t="s">
        <v>1451</v>
      </c>
      <c r="I128">
        <v>26.22</v>
      </c>
    </row>
    <row r="129" spans="1:9" ht="12.75">
      <c r="A129">
        <v>122</v>
      </c>
      <c r="B129" t="s">
        <v>1452</v>
      </c>
      <c r="C129" t="s">
        <v>1453</v>
      </c>
      <c r="D129" t="s">
        <v>2780</v>
      </c>
      <c r="E129" t="s">
        <v>3209</v>
      </c>
      <c r="F129" t="str">
        <f>"18/26"</f>
        <v>18/26</v>
      </c>
      <c r="G129" t="s">
        <v>1454</v>
      </c>
      <c r="H129" t="s">
        <v>1455</v>
      </c>
      <c r="I129">
        <v>26.19</v>
      </c>
    </row>
    <row r="130" spans="1:9" ht="12.75">
      <c r="A130">
        <v>123</v>
      </c>
      <c r="B130" t="s">
        <v>1456</v>
      </c>
      <c r="C130" t="s">
        <v>1989</v>
      </c>
      <c r="D130" t="s">
        <v>3031</v>
      </c>
      <c r="E130" t="s">
        <v>3209</v>
      </c>
      <c r="F130" t="str">
        <f>"19/26"</f>
        <v>19/26</v>
      </c>
      <c r="G130" t="s">
        <v>693</v>
      </c>
      <c r="H130" t="s">
        <v>1457</v>
      </c>
      <c r="I130">
        <v>26.08</v>
      </c>
    </row>
    <row r="131" spans="1:9" ht="12.75">
      <c r="A131">
        <v>124</v>
      </c>
      <c r="B131" t="s">
        <v>1458</v>
      </c>
      <c r="C131" t="s">
        <v>6001</v>
      </c>
      <c r="D131" t="s">
        <v>2780</v>
      </c>
      <c r="E131" t="s">
        <v>2818</v>
      </c>
      <c r="F131" t="str">
        <f>"16/23"</f>
        <v>16/23</v>
      </c>
      <c r="G131" t="s">
        <v>7207</v>
      </c>
      <c r="H131" t="s">
        <v>1459</v>
      </c>
      <c r="I131">
        <v>26.08</v>
      </c>
    </row>
    <row r="132" spans="1:9" ht="12.75">
      <c r="A132">
        <v>125</v>
      </c>
      <c r="B132" t="s">
        <v>1460</v>
      </c>
      <c r="C132" t="s">
        <v>7458</v>
      </c>
      <c r="D132" t="s">
        <v>3031</v>
      </c>
      <c r="E132" t="s">
        <v>2923</v>
      </c>
      <c r="F132" t="str">
        <f>"3/3"</f>
        <v>3/3</v>
      </c>
      <c r="G132" t="s">
        <v>7268</v>
      </c>
      <c r="H132" t="s">
        <v>1461</v>
      </c>
      <c r="I132">
        <v>26.07</v>
      </c>
    </row>
    <row r="133" spans="1:9" ht="12.75">
      <c r="A133">
        <v>126</v>
      </c>
      <c r="B133" t="s">
        <v>1462</v>
      </c>
      <c r="C133" t="s">
        <v>2868</v>
      </c>
      <c r="D133" t="s">
        <v>2780</v>
      </c>
      <c r="E133" t="s">
        <v>2781</v>
      </c>
      <c r="F133" t="str">
        <f>"25/28"</f>
        <v>25/28</v>
      </c>
      <c r="G133" t="s">
        <v>350</v>
      </c>
      <c r="H133" t="s">
        <v>1463</v>
      </c>
      <c r="I133">
        <v>25.88</v>
      </c>
    </row>
    <row r="134" spans="1:9" ht="12.75">
      <c r="A134">
        <v>127</v>
      </c>
      <c r="B134" t="s">
        <v>463</v>
      </c>
      <c r="C134" t="s">
        <v>3406</v>
      </c>
      <c r="D134" t="s">
        <v>2780</v>
      </c>
      <c r="E134" t="s">
        <v>2823</v>
      </c>
      <c r="F134" t="str">
        <f>"23/33"</f>
        <v>23/33</v>
      </c>
      <c r="G134" t="s">
        <v>1464</v>
      </c>
      <c r="H134" t="s">
        <v>1465</v>
      </c>
      <c r="I134">
        <v>25.88</v>
      </c>
    </row>
    <row r="135" spans="1:9" s="7" customFormat="1" ht="12.75">
      <c r="A135" s="7">
        <v>128</v>
      </c>
      <c r="B135" s="7" t="s">
        <v>1466</v>
      </c>
      <c r="C135" s="7" t="s">
        <v>2966</v>
      </c>
      <c r="D135" s="7" t="s">
        <v>2780</v>
      </c>
      <c r="E135" s="7" t="s">
        <v>2823</v>
      </c>
      <c r="F135" s="7" t="str">
        <f>"24/33"</f>
        <v>24/33</v>
      </c>
      <c r="G135" s="7" t="s">
        <v>5536</v>
      </c>
      <c r="H135" s="7" t="s">
        <v>1467</v>
      </c>
      <c r="I135" s="7">
        <v>25.87</v>
      </c>
    </row>
    <row r="136" spans="1:9" ht="12.75">
      <c r="A136">
        <v>129</v>
      </c>
      <c r="B136" t="s">
        <v>1468</v>
      </c>
      <c r="C136" t="s">
        <v>2963</v>
      </c>
      <c r="D136" t="s">
        <v>2780</v>
      </c>
      <c r="E136" t="s">
        <v>2781</v>
      </c>
      <c r="F136" t="str">
        <f>"26/28"</f>
        <v>26/28</v>
      </c>
      <c r="G136" t="s">
        <v>5027</v>
      </c>
      <c r="H136" t="s">
        <v>1469</v>
      </c>
      <c r="I136">
        <v>25.71</v>
      </c>
    </row>
    <row r="137" spans="1:9" ht="12.75">
      <c r="A137">
        <v>130</v>
      </c>
      <c r="B137" t="s">
        <v>1470</v>
      </c>
      <c r="C137" t="s">
        <v>465</v>
      </c>
      <c r="D137" t="s">
        <v>3031</v>
      </c>
      <c r="E137" t="s">
        <v>3032</v>
      </c>
      <c r="F137" t="str">
        <f>"12/13"</f>
        <v>12/13</v>
      </c>
      <c r="G137" t="s">
        <v>5027</v>
      </c>
      <c r="H137" t="s">
        <v>1471</v>
      </c>
      <c r="I137">
        <v>25.71</v>
      </c>
    </row>
    <row r="138" spans="1:9" ht="12.75">
      <c r="A138">
        <v>131</v>
      </c>
      <c r="B138" t="s">
        <v>3909</v>
      </c>
      <c r="C138" t="s">
        <v>2902</v>
      </c>
      <c r="D138" t="s">
        <v>2780</v>
      </c>
      <c r="E138" t="s">
        <v>2818</v>
      </c>
      <c r="F138" t="str">
        <f>"17/23"</f>
        <v>17/23</v>
      </c>
      <c r="G138" t="s">
        <v>5241</v>
      </c>
      <c r="H138" t="s">
        <v>1472</v>
      </c>
      <c r="I138">
        <v>25.68</v>
      </c>
    </row>
    <row r="139" spans="1:9" ht="12.75">
      <c r="A139">
        <v>132</v>
      </c>
      <c r="B139" t="s">
        <v>2126</v>
      </c>
      <c r="C139" t="s">
        <v>868</v>
      </c>
      <c r="D139" t="s">
        <v>2780</v>
      </c>
      <c r="E139" t="s">
        <v>2823</v>
      </c>
      <c r="F139" t="str">
        <f>"25/33"</f>
        <v>25/33</v>
      </c>
      <c r="G139" t="s">
        <v>3206</v>
      </c>
      <c r="H139" t="s">
        <v>1473</v>
      </c>
      <c r="I139">
        <v>25.48</v>
      </c>
    </row>
    <row r="140" spans="1:9" ht="12.75">
      <c r="A140">
        <v>133</v>
      </c>
      <c r="B140" t="s">
        <v>1474</v>
      </c>
      <c r="C140" t="s">
        <v>2902</v>
      </c>
      <c r="D140" t="s">
        <v>2780</v>
      </c>
      <c r="E140" t="s">
        <v>2823</v>
      </c>
      <c r="F140" t="str">
        <f>"26/33"</f>
        <v>26/33</v>
      </c>
      <c r="G140" t="s">
        <v>1745</v>
      </c>
      <c r="H140" t="s">
        <v>1475</v>
      </c>
      <c r="I140">
        <v>25.42</v>
      </c>
    </row>
    <row r="141" spans="1:9" ht="12.75">
      <c r="A141">
        <v>134</v>
      </c>
      <c r="B141" t="s">
        <v>1144</v>
      </c>
      <c r="C141" t="s">
        <v>5149</v>
      </c>
      <c r="D141" t="s">
        <v>2780</v>
      </c>
      <c r="E141" t="s">
        <v>2823</v>
      </c>
      <c r="F141" t="str">
        <f>"27/33"</f>
        <v>27/33</v>
      </c>
      <c r="G141" t="s">
        <v>572</v>
      </c>
      <c r="H141" t="s">
        <v>1476</v>
      </c>
      <c r="I141">
        <v>25.41</v>
      </c>
    </row>
    <row r="142" spans="1:9" ht="12.75">
      <c r="A142">
        <v>135</v>
      </c>
      <c r="B142" t="s">
        <v>1477</v>
      </c>
      <c r="C142" t="s">
        <v>615</v>
      </c>
      <c r="D142" t="s">
        <v>2780</v>
      </c>
      <c r="E142" t="s">
        <v>2973</v>
      </c>
      <c r="F142" t="str">
        <f>"19/31"</f>
        <v>19/31</v>
      </c>
      <c r="G142" t="s">
        <v>1478</v>
      </c>
      <c r="H142" t="s">
        <v>1479</v>
      </c>
      <c r="I142">
        <v>25.36</v>
      </c>
    </row>
    <row r="143" spans="1:9" ht="12.75">
      <c r="A143">
        <v>136</v>
      </c>
      <c r="B143" t="s">
        <v>1480</v>
      </c>
      <c r="C143" t="s">
        <v>1481</v>
      </c>
      <c r="D143" t="s">
        <v>2780</v>
      </c>
      <c r="E143" t="s">
        <v>2823</v>
      </c>
      <c r="F143" t="str">
        <f>"28/33"</f>
        <v>28/33</v>
      </c>
      <c r="G143" t="s">
        <v>815</v>
      </c>
      <c r="H143" t="s">
        <v>1482</v>
      </c>
      <c r="I143">
        <v>25.17</v>
      </c>
    </row>
    <row r="144" spans="1:9" ht="12.75">
      <c r="A144">
        <v>137</v>
      </c>
      <c r="B144" t="s">
        <v>1320</v>
      </c>
      <c r="C144" t="s">
        <v>4814</v>
      </c>
      <c r="D144" t="s">
        <v>3031</v>
      </c>
      <c r="E144" t="s">
        <v>3244</v>
      </c>
      <c r="F144" t="str">
        <f>"2/7"</f>
        <v>2/7</v>
      </c>
      <c r="G144" t="s">
        <v>815</v>
      </c>
      <c r="H144" t="s">
        <v>1483</v>
      </c>
      <c r="I144">
        <v>25.17</v>
      </c>
    </row>
    <row r="145" spans="1:9" s="7" customFormat="1" ht="12.75">
      <c r="A145" s="7">
        <v>138</v>
      </c>
      <c r="B145" s="7" t="s">
        <v>1484</v>
      </c>
      <c r="C145" s="7" t="s">
        <v>3455</v>
      </c>
      <c r="D145" s="7" t="s">
        <v>3031</v>
      </c>
      <c r="E145" s="7" t="s">
        <v>3032</v>
      </c>
      <c r="F145" s="7" t="str">
        <f>"13/13"</f>
        <v>13/13</v>
      </c>
      <c r="G145" s="7" t="s">
        <v>5536</v>
      </c>
      <c r="H145" s="7" t="s">
        <v>1485</v>
      </c>
      <c r="I145" s="7">
        <v>25.14</v>
      </c>
    </row>
    <row r="146" spans="1:9" ht="12.75">
      <c r="A146">
        <v>139</v>
      </c>
      <c r="B146" t="s">
        <v>5427</v>
      </c>
      <c r="C146" t="s">
        <v>615</v>
      </c>
      <c r="D146" t="s">
        <v>2780</v>
      </c>
      <c r="E146" t="s">
        <v>3209</v>
      </c>
      <c r="F146" t="str">
        <f>"20/26"</f>
        <v>20/26</v>
      </c>
      <c r="G146" t="s">
        <v>1139</v>
      </c>
      <c r="H146" t="s">
        <v>1486</v>
      </c>
      <c r="I146">
        <v>25.12</v>
      </c>
    </row>
    <row r="147" spans="1:9" ht="12.75">
      <c r="A147">
        <v>140</v>
      </c>
      <c r="B147" t="s">
        <v>1487</v>
      </c>
      <c r="C147" t="s">
        <v>2916</v>
      </c>
      <c r="D147" t="s">
        <v>2780</v>
      </c>
      <c r="E147" t="s">
        <v>2786</v>
      </c>
      <c r="F147" t="str">
        <f>"2/2"</f>
        <v>2/2</v>
      </c>
      <c r="G147" t="s">
        <v>607</v>
      </c>
      <c r="H147" t="s">
        <v>1488</v>
      </c>
      <c r="I147">
        <v>24.97</v>
      </c>
    </row>
    <row r="148" spans="1:9" s="7" customFormat="1" ht="12.75">
      <c r="A148" s="7">
        <v>141</v>
      </c>
      <c r="B148" s="7" t="s">
        <v>1489</v>
      </c>
      <c r="C148" s="7" t="s">
        <v>2857</v>
      </c>
      <c r="D148" s="7" t="s">
        <v>2780</v>
      </c>
      <c r="E148" s="7" t="s">
        <v>2818</v>
      </c>
      <c r="F148" s="7" t="str">
        <f>"18/23"</f>
        <v>18/23</v>
      </c>
      <c r="G148" s="7" t="s">
        <v>5536</v>
      </c>
      <c r="H148" s="7" t="s">
        <v>1490</v>
      </c>
      <c r="I148" s="7">
        <v>24.87</v>
      </c>
    </row>
    <row r="149" spans="1:9" s="7" customFormat="1" ht="12.75">
      <c r="A149" s="7">
        <v>142</v>
      </c>
      <c r="B149" s="7" t="s">
        <v>1491</v>
      </c>
      <c r="C149" s="7" t="s">
        <v>1201</v>
      </c>
      <c r="D149" s="7" t="s">
        <v>3031</v>
      </c>
      <c r="E149" s="7" t="s">
        <v>3244</v>
      </c>
      <c r="F149" s="7" t="str">
        <f>"3/7"</f>
        <v>3/7</v>
      </c>
      <c r="G149" s="7" t="s">
        <v>5536</v>
      </c>
      <c r="H149" s="7" t="s">
        <v>1492</v>
      </c>
      <c r="I149" s="7">
        <v>24.86</v>
      </c>
    </row>
    <row r="150" spans="1:9" ht="12.75">
      <c r="A150">
        <v>143</v>
      </c>
      <c r="B150" t="s">
        <v>1493</v>
      </c>
      <c r="C150" t="s">
        <v>1494</v>
      </c>
      <c r="D150" t="s">
        <v>3031</v>
      </c>
      <c r="E150" t="s">
        <v>3244</v>
      </c>
      <c r="F150" t="str">
        <f>"4/7"</f>
        <v>4/7</v>
      </c>
      <c r="G150" t="s">
        <v>566</v>
      </c>
      <c r="H150" t="s">
        <v>1495</v>
      </c>
      <c r="I150">
        <v>24.75</v>
      </c>
    </row>
    <row r="151" spans="1:9" ht="12.75">
      <c r="A151">
        <v>144</v>
      </c>
      <c r="B151" t="s">
        <v>1496</v>
      </c>
      <c r="C151" t="s">
        <v>2966</v>
      </c>
      <c r="D151" t="s">
        <v>2780</v>
      </c>
      <c r="E151" t="s">
        <v>2823</v>
      </c>
      <c r="F151" t="str">
        <f>"29/33"</f>
        <v>29/33</v>
      </c>
      <c r="G151" t="s">
        <v>572</v>
      </c>
      <c r="H151" t="s">
        <v>1497</v>
      </c>
      <c r="I151">
        <v>24.73</v>
      </c>
    </row>
    <row r="152" spans="1:9" ht="12.75">
      <c r="A152">
        <v>145</v>
      </c>
      <c r="B152" t="s">
        <v>1144</v>
      </c>
      <c r="C152" t="s">
        <v>3201</v>
      </c>
      <c r="D152" t="s">
        <v>2780</v>
      </c>
      <c r="E152" t="s">
        <v>2781</v>
      </c>
      <c r="F152" t="str">
        <f>"27/28"</f>
        <v>27/28</v>
      </c>
      <c r="G152" t="s">
        <v>572</v>
      </c>
      <c r="H152" t="s">
        <v>1498</v>
      </c>
      <c r="I152">
        <v>24.72</v>
      </c>
    </row>
    <row r="153" spans="1:9" ht="12.75">
      <c r="A153">
        <v>146</v>
      </c>
      <c r="B153" t="s">
        <v>5465</v>
      </c>
      <c r="C153" t="s">
        <v>3108</v>
      </c>
      <c r="D153" t="s">
        <v>2780</v>
      </c>
      <c r="E153" t="s">
        <v>2823</v>
      </c>
      <c r="F153" t="str">
        <f>"30/33"</f>
        <v>30/33</v>
      </c>
      <c r="G153" t="s">
        <v>697</v>
      </c>
      <c r="H153" t="s">
        <v>1499</v>
      </c>
      <c r="I153">
        <v>24.59</v>
      </c>
    </row>
    <row r="154" spans="1:9" ht="12.75">
      <c r="A154">
        <v>147</v>
      </c>
      <c r="B154" t="s">
        <v>1500</v>
      </c>
      <c r="C154" t="s">
        <v>1501</v>
      </c>
      <c r="D154" t="s">
        <v>3031</v>
      </c>
      <c r="E154" t="s">
        <v>3244</v>
      </c>
      <c r="F154" t="str">
        <f>"5/7"</f>
        <v>5/7</v>
      </c>
      <c r="G154" t="s">
        <v>553</v>
      </c>
      <c r="H154" t="s">
        <v>1502</v>
      </c>
      <c r="I154">
        <v>24.47</v>
      </c>
    </row>
    <row r="155" spans="1:9" ht="12.75">
      <c r="A155">
        <v>148</v>
      </c>
      <c r="B155" t="s">
        <v>1503</v>
      </c>
      <c r="C155" t="s">
        <v>3147</v>
      </c>
      <c r="D155" t="s">
        <v>2780</v>
      </c>
      <c r="E155" t="s">
        <v>2818</v>
      </c>
      <c r="F155" t="str">
        <f>"19/23"</f>
        <v>19/23</v>
      </c>
      <c r="G155" t="s">
        <v>697</v>
      </c>
      <c r="H155" t="s">
        <v>1504</v>
      </c>
      <c r="I155">
        <v>24.34</v>
      </c>
    </row>
    <row r="156" spans="1:9" ht="12.75">
      <c r="A156">
        <v>149</v>
      </c>
      <c r="B156" t="s">
        <v>1392</v>
      </c>
      <c r="C156" t="s">
        <v>3087</v>
      </c>
      <c r="D156" t="s">
        <v>2780</v>
      </c>
      <c r="E156" t="s">
        <v>2781</v>
      </c>
      <c r="F156" t="str">
        <f>"28/28"</f>
        <v>28/28</v>
      </c>
      <c r="G156" t="s">
        <v>697</v>
      </c>
      <c r="H156" t="s">
        <v>1505</v>
      </c>
      <c r="I156">
        <v>24.33</v>
      </c>
    </row>
    <row r="157" spans="1:9" ht="12.75">
      <c r="A157">
        <v>150</v>
      </c>
      <c r="B157" t="s">
        <v>1506</v>
      </c>
      <c r="C157" t="s">
        <v>2942</v>
      </c>
      <c r="D157" t="s">
        <v>2780</v>
      </c>
      <c r="E157" t="s">
        <v>2818</v>
      </c>
      <c r="F157" t="str">
        <f>"20/23"</f>
        <v>20/23</v>
      </c>
      <c r="G157" t="s">
        <v>188</v>
      </c>
      <c r="H157" t="s">
        <v>1507</v>
      </c>
      <c r="I157">
        <v>24.32</v>
      </c>
    </row>
    <row r="158" spans="1:9" ht="12.75">
      <c r="A158">
        <v>151</v>
      </c>
      <c r="B158" t="s">
        <v>1508</v>
      </c>
      <c r="C158" t="s">
        <v>3087</v>
      </c>
      <c r="D158" t="s">
        <v>2780</v>
      </c>
      <c r="E158" t="s">
        <v>2823</v>
      </c>
      <c r="F158" t="str">
        <f>"31/33"</f>
        <v>31/33</v>
      </c>
      <c r="G158" t="s">
        <v>2243</v>
      </c>
      <c r="H158" t="s">
        <v>1509</v>
      </c>
      <c r="I158">
        <v>24.21</v>
      </c>
    </row>
    <row r="159" spans="1:9" ht="12.75">
      <c r="A159">
        <v>152</v>
      </c>
      <c r="B159" t="s">
        <v>1510</v>
      </c>
      <c r="C159" t="s">
        <v>2857</v>
      </c>
      <c r="D159" t="s">
        <v>2780</v>
      </c>
      <c r="E159" t="s">
        <v>2973</v>
      </c>
      <c r="F159" t="str">
        <f>"20/31"</f>
        <v>20/31</v>
      </c>
      <c r="G159" t="s">
        <v>1039</v>
      </c>
      <c r="H159" t="s">
        <v>1511</v>
      </c>
      <c r="I159">
        <v>24.1</v>
      </c>
    </row>
    <row r="160" spans="1:9" ht="12.75">
      <c r="A160">
        <v>153</v>
      </c>
      <c r="B160" t="s">
        <v>5606</v>
      </c>
      <c r="C160" t="s">
        <v>2935</v>
      </c>
      <c r="D160" t="s">
        <v>2780</v>
      </c>
      <c r="E160" t="s">
        <v>2973</v>
      </c>
      <c r="F160" t="str">
        <f>"21/31"</f>
        <v>21/31</v>
      </c>
      <c r="G160" t="s">
        <v>1039</v>
      </c>
      <c r="H160" t="s">
        <v>1512</v>
      </c>
      <c r="I160">
        <v>24.09</v>
      </c>
    </row>
    <row r="161" spans="1:9" ht="12.75">
      <c r="A161">
        <v>154</v>
      </c>
      <c r="B161" t="s">
        <v>1513</v>
      </c>
      <c r="C161" t="s">
        <v>1514</v>
      </c>
      <c r="D161" t="s">
        <v>2780</v>
      </c>
      <c r="E161" t="s">
        <v>2973</v>
      </c>
      <c r="F161" t="str">
        <f>"22/31"</f>
        <v>22/31</v>
      </c>
      <c r="G161" t="s">
        <v>1039</v>
      </c>
      <c r="H161" t="s">
        <v>1515</v>
      </c>
      <c r="I161">
        <v>24.09</v>
      </c>
    </row>
    <row r="162" spans="1:9" ht="12.75">
      <c r="A162">
        <v>155</v>
      </c>
      <c r="B162" t="s">
        <v>1823</v>
      </c>
      <c r="C162" t="s">
        <v>5404</v>
      </c>
      <c r="D162" t="s">
        <v>2780</v>
      </c>
      <c r="E162" t="s">
        <v>2973</v>
      </c>
      <c r="F162" t="str">
        <f>"23/31"</f>
        <v>23/31</v>
      </c>
      <c r="G162" t="s">
        <v>1039</v>
      </c>
      <c r="H162" t="s">
        <v>127</v>
      </c>
      <c r="I162">
        <v>24.08</v>
      </c>
    </row>
    <row r="163" spans="1:9" ht="12.75">
      <c r="A163">
        <v>156</v>
      </c>
      <c r="B163" t="s">
        <v>629</v>
      </c>
      <c r="C163" t="s">
        <v>401</v>
      </c>
      <c r="D163" t="s">
        <v>2780</v>
      </c>
      <c r="E163" t="s">
        <v>2973</v>
      </c>
      <c r="F163" t="str">
        <f>"24/31"</f>
        <v>24/31</v>
      </c>
      <c r="G163" t="s">
        <v>1039</v>
      </c>
      <c r="H163" t="s">
        <v>1516</v>
      </c>
      <c r="I163">
        <v>24.07</v>
      </c>
    </row>
    <row r="164" spans="1:9" ht="12.75">
      <c r="A164">
        <v>157</v>
      </c>
      <c r="B164" t="s">
        <v>1517</v>
      </c>
      <c r="C164" t="s">
        <v>401</v>
      </c>
      <c r="D164" t="s">
        <v>2780</v>
      </c>
      <c r="E164" t="s">
        <v>2973</v>
      </c>
      <c r="F164" t="str">
        <f>"25/31"</f>
        <v>25/31</v>
      </c>
      <c r="G164" t="s">
        <v>1518</v>
      </c>
      <c r="H164" t="s">
        <v>1519</v>
      </c>
      <c r="I164">
        <v>24.07</v>
      </c>
    </row>
    <row r="165" spans="1:9" ht="12.75">
      <c r="A165">
        <v>158</v>
      </c>
      <c r="B165" t="s">
        <v>1520</v>
      </c>
      <c r="C165" t="s">
        <v>3471</v>
      </c>
      <c r="D165" t="s">
        <v>2780</v>
      </c>
      <c r="E165" t="s">
        <v>2973</v>
      </c>
      <c r="F165" t="str">
        <f>"26/31"</f>
        <v>26/31</v>
      </c>
      <c r="G165" t="s">
        <v>1039</v>
      </c>
      <c r="H165" t="s">
        <v>140</v>
      </c>
      <c r="I165">
        <v>24.06</v>
      </c>
    </row>
    <row r="166" spans="1:9" ht="12.75">
      <c r="A166">
        <v>159</v>
      </c>
      <c r="B166" t="s">
        <v>5051</v>
      </c>
      <c r="C166" t="s">
        <v>615</v>
      </c>
      <c r="D166" t="s">
        <v>2780</v>
      </c>
      <c r="E166" t="s">
        <v>2818</v>
      </c>
      <c r="F166" t="str">
        <f>"21/23"</f>
        <v>21/23</v>
      </c>
      <c r="G166" t="s">
        <v>1039</v>
      </c>
      <c r="H166" t="s">
        <v>1521</v>
      </c>
      <c r="I166">
        <v>24.06</v>
      </c>
    </row>
    <row r="167" spans="1:9" ht="12.75">
      <c r="A167">
        <v>160</v>
      </c>
      <c r="B167" t="s">
        <v>2867</v>
      </c>
      <c r="C167" t="s">
        <v>3276</v>
      </c>
      <c r="D167" t="s">
        <v>2780</v>
      </c>
      <c r="E167" t="s">
        <v>2973</v>
      </c>
      <c r="F167" t="str">
        <f>"27/31"</f>
        <v>27/31</v>
      </c>
      <c r="G167" t="s">
        <v>1039</v>
      </c>
      <c r="H167" t="s">
        <v>1522</v>
      </c>
      <c r="I167">
        <v>24.06</v>
      </c>
    </row>
    <row r="168" spans="1:9" ht="12.75">
      <c r="A168">
        <v>161</v>
      </c>
      <c r="B168" t="s">
        <v>7719</v>
      </c>
      <c r="C168" t="s">
        <v>1048</v>
      </c>
      <c r="D168" t="s">
        <v>2780</v>
      </c>
      <c r="E168" t="s">
        <v>3209</v>
      </c>
      <c r="F168" t="str">
        <f>"21/26"</f>
        <v>21/26</v>
      </c>
      <c r="G168" t="s">
        <v>5241</v>
      </c>
      <c r="H168" t="s">
        <v>1523</v>
      </c>
      <c r="I168">
        <v>24.04</v>
      </c>
    </row>
    <row r="169" spans="1:9" ht="12.75">
      <c r="A169">
        <v>162</v>
      </c>
      <c r="B169" t="s">
        <v>1524</v>
      </c>
      <c r="C169" t="s">
        <v>488</v>
      </c>
      <c r="D169" t="s">
        <v>3031</v>
      </c>
      <c r="E169" t="s">
        <v>3244</v>
      </c>
      <c r="F169" t="str">
        <f>"6/7"</f>
        <v>6/7</v>
      </c>
      <c r="G169" t="s">
        <v>76</v>
      </c>
      <c r="H169" t="s">
        <v>1525</v>
      </c>
      <c r="I169">
        <v>23.69</v>
      </c>
    </row>
    <row r="170" spans="1:9" ht="12.75">
      <c r="A170">
        <v>163</v>
      </c>
      <c r="B170" t="s">
        <v>1526</v>
      </c>
      <c r="C170" t="s">
        <v>6171</v>
      </c>
      <c r="D170" t="s">
        <v>2780</v>
      </c>
      <c r="E170" t="s">
        <v>2973</v>
      </c>
      <c r="F170" t="str">
        <f>"28/31"</f>
        <v>28/31</v>
      </c>
      <c r="G170" t="s">
        <v>1527</v>
      </c>
      <c r="H170" t="s">
        <v>1528</v>
      </c>
      <c r="I170">
        <v>23.13</v>
      </c>
    </row>
    <row r="171" spans="1:9" ht="12.75">
      <c r="A171">
        <v>164</v>
      </c>
      <c r="B171" t="s">
        <v>2978</v>
      </c>
      <c r="C171" t="s">
        <v>2942</v>
      </c>
      <c r="D171" t="s">
        <v>2780</v>
      </c>
      <c r="E171" t="s">
        <v>3209</v>
      </c>
      <c r="F171" t="str">
        <f>"22/26"</f>
        <v>22/26</v>
      </c>
      <c r="G171" t="s">
        <v>1139</v>
      </c>
      <c r="H171" t="s">
        <v>1529</v>
      </c>
      <c r="I171">
        <v>23.12</v>
      </c>
    </row>
    <row r="172" spans="1:9" ht="12.75">
      <c r="A172">
        <v>165</v>
      </c>
      <c r="B172" t="s">
        <v>1530</v>
      </c>
      <c r="C172" t="s">
        <v>84</v>
      </c>
      <c r="D172" t="s">
        <v>2780</v>
      </c>
      <c r="E172" t="s">
        <v>3209</v>
      </c>
      <c r="F172" t="str">
        <f>"23/26"</f>
        <v>23/26</v>
      </c>
      <c r="G172" t="s">
        <v>1139</v>
      </c>
      <c r="H172" t="s">
        <v>1531</v>
      </c>
      <c r="I172">
        <v>23.11</v>
      </c>
    </row>
    <row r="173" spans="1:9" ht="12.75">
      <c r="A173">
        <v>166</v>
      </c>
      <c r="B173" t="s">
        <v>4830</v>
      </c>
      <c r="C173" t="s">
        <v>401</v>
      </c>
      <c r="D173" t="s">
        <v>2780</v>
      </c>
      <c r="E173" t="s">
        <v>2973</v>
      </c>
      <c r="F173" t="str">
        <f>"29/31"</f>
        <v>29/31</v>
      </c>
      <c r="G173" t="s">
        <v>3428</v>
      </c>
      <c r="H173" t="s">
        <v>1532</v>
      </c>
      <c r="I173">
        <v>23.1</v>
      </c>
    </row>
    <row r="174" spans="1:9" ht="12.75">
      <c r="A174">
        <v>167</v>
      </c>
      <c r="B174" t="s">
        <v>1936</v>
      </c>
      <c r="C174" t="s">
        <v>749</v>
      </c>
      <c r="D174" t="s">
        <v>3031</v>
      </c>
      <c r="E174" t="s">
        <v>3209</v>
      </c>
      <c r="F174" t="str">
        <f>"24/26"</f>
        <v>24/26</v>
      </c>
      <c r="G174" t="s">
        <v>188</v>
      </c>
      <c r="H174" t="s">
        <v>1533</v>
      </c>
      <c r="I174">
        <v>23.05</v>
      </c>
    </row>
    <row r="175" spans="1:9" ht="12.75">
      <c r="A175">
        <v>168</v>
      </c>
      <c r="B175" t="s">
        <v>1534</v>
      </c>
      <c r="C175" t="s">
        <v>1535</v>
      </c>
      <c r="D175" t="s">
        <v>2780</v>
      </c>
      <c r="E175" t="s">
        <v>2823</v>
      </c>
      <c r="F175" t="str">
        <f>"32/33"</f>
        <v>32/33</v>
      </c>
      <c r="G175" t="s">
        <v>215</v>
      </c>
      <c r="H175" t="s">
        <v>1536</v>
      </c>
      <c r="I175">
        <v>22.83</v>
      </c>
    </row>
    <row r="176" spans="1:9" ht="12.75">
      <c r="A176">
        <v>169</v>
      </c>
      <c r="B176" t="s">
        <v>1537</v>
      </c>
      <c r="C176" t="s">
        <v>3560</v>
      </c>
      <c r="D176" t="s">
        <v>2780</v>
      </c>
      <c r="E176" t="s">
        <v>2973</v>
      </c>
      <c r="F176" t="str">
        <f>"30/31"</f>
        <v>30/31</v>
      </c>
      <c r="G176" t="s">
        <v>1538</v>
      </c>
      <c r="H176" t="s">
        <v>1539</v>
      </c>
      <c r="I176">
        <v>22.75</v>
      </c>
    </row>
    <row r="177" spans="1:9" ht="12.75">
      <c r="A177">
        <v>170</v>
      </c>
      <c r="B177" t="s">
        <v>1540</v>
      </c>
      <c r="C177" t="s">
        <v>2956</v>
      </c>
      <c r="D177" t="s">
        <v>2780</v>
      </c>
      <c r="E177" t="s">
        <v>3209</v>
      </c>
      <c r="F177" t="str">
        <f>"25/26"</f>
        <v>25/26</v>
      </c>
      <c r="G177" t="s">
        <v>1541</v>
      </c>
      <c r="H177" t="s">
        <v>1542</v>
      </c>
      <c r="I177">
        <v>22.56</v>
      </c>
    </row>
    <row r="178" spans="1:9" ht="12.75">
      <c r="A178">
        <v>171</v>
      </c>
      <c r="B178" t="s">
        <v>541</v>
      </c>
      <c r="C178" t="s">
        <v>700</v>
      </c>
      <c r="D178" t="s">
        <v>2780</v>
      </c>
      <c r="E178" t="s">
        <v>2818</v>
      </c>
      <c r="F178" t="str">
        <f>"22/23"</f>
        <v>22/23</v>
      </c>
      <c r="G178" t="s">
        <v>1543</v>
      </c>
      <c r="H178" t="s">
        <v>1544</v>
      </c>
      <c r="I178">
        <v>22.37</v>
      </c>
    </row>
    <row r="179" spans="1:9" ht="12.75">
      <c r="A179">
        <v>172</v>
      </c>
      <c r="B179" t="s">
        <v>1545</v>
      </c>
      <c r="C179" t="s">
        <v>54</v>
      </c>
      <c r="D179" t="s">
        <v>2780</v>
      </c>
      <c r="E179" t="s">
        <v>3209</v>
      </c>
      <c r="F179" t="str">
        <f>"26/26"</f>
        <v>26/26</v>
      </c>
      <c r="G179" t="s">
        <v>6845</v>
      </c>
      <c r="H179" t="s">
        <v>1546</v>
      </c>
      <c r="I179">
        <v>21.94</v>
      </c>
    </row>
    <row r="180" spans="1:9" ht="12.75">
      <c r="A180">
        <v>173</v>
      </c>
      <c r="B180" t="s">
        <v>1547</v>
      </c>
      <c r="C180" t="s">
        <v>1048</v>
      </c>
      <c r="D180" t="s">
        <v>2780</v>
      </c>
      <c r="E180" t="s">
        <v>2973</v>
      </c>
      <c r="F180" t="str">
        <f>"31/31"</f>
        <v>31/31</v>
      </c>
      <c r="G180" t="s">
        <v>6845</v>
      </c>
      <c r="H180" t="s">
        <v>1548</v>
      </c>
      <c r="I180">
        <v>21.72</v>
      </c>
    </row>
    <row r="181" spans="1:9" ht="12.75">
      <c r="A181">
        <v>174</v>
      </c>
      <c r="B181" t="s">
        <v>1549</v>
      </c>
      <c r="C181" t="s">
        <v>1690</v>
      </c>
      <c r="D181" t="s">
        <v>3031</v>
      </c>
      <c r="E181" t="s">
        <v>3244</v>
      </c>
      <c r="F181" t="str">
        <f>"7/7"</f>
        <v>7/7</v>
      </c>
      <c r="G181" t="s">
        <v>647</v>
      </c>
      <c r="H181" t="s">
        <v>1550</v>
      </c>
      <c r="I181">
        <v>21.71</v>
      </c>
    </row>
    <row r="182" spans="1:9" ht="12.75">
      <c r="A182">
        <v>175</v>
      </c>
      <c r="B182" t="s">
        <v>1551</v>
      </c>
      <c r="C182" t="s">
        <v>2585</v>
      </c>
      <c r="D182" t="s">
        <v>2780</v>
      </c>
      <c r="E182" t="s">
        <v>2823</v>
      </c>
      <c r="F182" t="str">
        <f>"33/33"</f>
        <v>33/33</v>
      </c>
      <c r="G182" t="s">
        <v>647</v>
      </c>
      <c r="H182" t="s">
        <v>1552</v>
      </c>
      <c r="I182">
        <v>21.68</v>
      </c>
    </row>
    <row r="183" spans="1:9" ht="12.75">
      <c r="A183">
        <v>176</v>
      </c>
      <c r="B183" t="s">
        <v>72</v>
      </c>
      <c r="C183" t="s">
        <v>2865</v>
      </c>
      <c r="D183" t="s">
        <v>2780</v>
      </c>
      <c r="E183" t="s">
        <v>2818</v>
      </c>
      <c r="F183" t="str">
        <f>"23/23"</f>
        <v>23/23</v>
      </c>
      <c r="G183" t="s">
        <v>3277</v>
      </c>
      <c r="H183" t="s">
        <v>1553</v>
      </c>
      <c r="I183">
        <v>19.11</v>
      </c>
    </row>
  </sheetData>
  <autoFilter ref="A7:I183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-</cp:lastModifiedBy>
  <dcterms:created xsi:type="dcterms:W3CDTF">2009-04-05T19:49:32Z</dcterms:created>
  <dcterms:modified xsi:type="dcterms:W3CDTF">2009-04-07T09:10:34Z</dcterms:modified>
  <cp:category/>
  <cp:version/>
  <cp:contentType/>
  <cp:contentStatus/>
</cp:coreProperties>
</file>